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35" windowHeight="7830" activeTab="2"/>
  </bookViews>
  <sheets>
    <sheet name="Capa" sheetId="1" r:id="rId1"/>
    <sheet name="Declaração GPI" sheetId="2" r:id="rId2"/>
    <sheet name="BDI" sheetId="3" r:id="rId3"/>
    <sheet name="Sintético Completo" sheetId="4" r:id="rId4"/>
    <sheet name="Resumo" sheetId="5" r:id="rId5"/>
    <sheet name="Cronograma" sheetId="6" r:id="rId6"/>
    <sheet name="Composições" sheetId="7" r:id="rId7"/>
  </sheets>
  <externalReferences>
    <externalReference r:id="rId10"/>
    <externalReference r:id="rId11"/>
    <externalReference r:id="rId12"/>
  </externalReferences>
  <definedNames>
    <definedName name="\0">#REF!</definedName>
    <definedName name="_e_" localSheetId="3">" e "</definedName>
    <definedName name="_sp_" localSheetId="3">" "</definedName>
    <definedName name="_xlfn.BAHTTEXT" hidden="1">#NAME?</definedName>
    <definedName name="_xlnm.Print_Area" localSheetId="0">'Capa'!$A$1:$J$38</definedName>
    <definedName name="_xlnm.Print_Area" localSheetId="5">'Cronograma'!$A$1:$L$147</definedName>
    <definedName name="_xlnm.Print_Area" localSheetId="4">'Resumo'!$A$1:$I$27</definedName>
    <definedName name="_xlnm.Print_Area" localSheetId="3">'Sintético Completo'!$A$1:$G$40</definedName>
    <definedName name="Cem" localSheetId="3">{"cento","duzentos","trezentos","quatrocentos","quinhentos","seiscentos","setecentos","oitocentos","novecentos"}</definedName>
    <definedName name="COTAÇÕES" localSheetId="1">#REF!</definedName>
    <definedName name="COTAÇÕES">#REF!</definedName>
    <definedName name="Dez" localSheetId="3">{"dez","vinte","trinta","quarenta","cinquenta","sessenta","setenta","oitenta","noventa"}</definedName>
    <definedName name="OCem" localSheetId="3">"cem"</definedName>
    <definedName name="Plu" localSheetId="3">{""," mil"," milh?es"," bilh?es"," trilh?es"}</definedName>
    <definedName name="Sml" localSheetId="3">{"um","dois","tr?s","quatro","cinco","seis","sete","oito","nove","dez","onze","doze","treze","quatorze","quinze","dezesseis","dezessete","dezoito","dezenove"}</definedName>
    <definedName name="smm">{"um","dois","tr?s","quatro","cinco","seis","sete","oito","nove","dez","onze","doze","treze","quatorze","quinze","dezesseis","dezessete","dezoito","dezenove"}</definedName>
    <definedName name="Sng" localSheetId="3">{"um","mil","um milh?o","um bilh?o","um trilh?o"}</definedName>
    <definedName name="TESTE" localSheetId="1">#REF!</definedName>
    <definedName name="TESTE">#REF!</definedName>
    <definedName name="_xlnm.Print_Titles" localSheetId="5">'Cronograma'!$1:$9</definedName>
    <definedName name="_xlnm.Print_Titles" localSheetId="4">'Resumo'!$1:$7</definedName>
    <definedName name="_xlnm.Print_Titles" localSheetId="3">'Sintético Completo'!$9:$10</definedName>
  </definedNames>
  <calcPr fullCalcOnLoad="1" fullPrecision="0"/>
</workbook>
</file>

<file path=xl/comments6.xml><?xml version="1.0" encoding="utf-8"?>
<comments xmlns="http://schemas.openxmlformats.org/spreadsheetml/2006/main">
  <authors>
    <author>Augusto Martins Ferreira</author>
  </authors>
  <commentList>
    <comment ref="L139" authorId="0">
      <text>
        <r>
          <rPr>
            <b/>
            <sz val="9"/>
            <rFont val="Tahoma"/>
            <family val="2"/>
          </rPr>
          <t>Augusto Martins Ferreira:
REANALIZAR VALOR PARA CORRIGIR O 0,02 CENTAVOS.</t>
        </r>
      </text>
    </comment>
  </commentList>
</comments>
</file>

<file path=xl/sharedStrings.xml><?xml version="1.0" encoding="utf-8"?>
<sst xmlns="http://schemas.openxmlformats.org/spreadsheetml/2006/main" count="334" uniqueCount="257">
  <si>
    <t>ITEM</t>
  </si>
  <si>
    <t>SERVIÇO</t>
  </si>
  <si>
    <t>SERVIÇOS PRELIMINARES</t>
  </si>
  <si>
    <t>1.1</t>
  </si>
  <si>
    <t>m²</t>
  </si>
  <si>
    <t>1.2</t>
  </si>
  <si>
    <t>2.1</t>
  </si>
  <si>
    <t>2.2</t>
  </si>
  <si>
    <t>2.3</t>
  </si>
  <si>
    <t>2.4</t>
  </si>
  <si>
    <t>h</t>
  </si>
  <si>
    <t>m</t>
  </si>
  <si>
    <t>m³</t>
  </si>
  <si>
    <t>UNID.</t>
  </si>
  <si>
    <t>QUANT.</t>
  </si>
  <si>
    <t xml:space="preserve"> VALOR UNIT. </t>
  </si>
  <si>
    <t xml:space="preserve"> VALOR TOTAL </t>
  </si>
  <si>
    <t xml:space="preserve">Placa da Obra em chapa de aço galvanizado </t>
  </si>
  <si>
    <t>1.3</t>
  </si>
  <si>
    <t>1.4</t>
  </si>
  <si>
    <t>Administração da Obra</t>
  </si>
  <si>
    <t>Mestre de Obras</t>
  </si>
  <si>
    <t>Consumo àgua/esgoto</t>
  </si>
  <si>
    <t>Consumo de energia elétrica</t>
  </si>
  <si>
    <t>KW/H</t>
  </si>
  <si>
    <t>Concreto FCK 20Mpa</t>
  </si>
  <si>
    <t>Kg</t>
  </si>
  <si>
    <t>DIVERSOS</t>
  </si>
  <si>
    <t>Limpeza Geral</t>
  </si>
  <si>
    <t> SUB-TOTAL</t>
  </si>
  <si>
    <t> T O T A L    G E R A L</t>
  </si>
  <si>
    <t>= GARANTIA CONTRATUAL</t>
  </si>
  <si>
    <t>4.1</t>
  </si>
  <si>
    <t>FUNDAÇÃO / ESTACAS</t>
  </si>
  <si>
    <t>SINAPI - 72819</t>
  </si>
  <si>
    <t>SINAPI - 73972/002</t>
  </si>
  <si>
    <t>SINAPI - 2707</t>
  </si>
  <si>
    <t>SINAPI - 4069</t>
  </si>
  <si>
    <t>SINAPI - 74209/001</t>
  </si>
  <si>
    <t>Referência - Código</t>
  </si>
  <si>
    <t>Limpeza manual do terreno (com raspagem superficial)</t>
  </si>
  <si>
    <t>SINAPI - 9537</t>
  </si>
  <si>
    <t>BALDRAME DO ALAMBRADO</t>
  </si>
  <si>
    <t>unid.</t>
  </si>
  <si>
    <t>PORTAO FERRO ABRIR EM TELA 2 FOLHAS 420 X 210CM</t>
  </si>
  <si>
    <t>TELA ARAME GALV FIO 14 BWG (2,11MM) MALHA 8 X 8CM QUADRADA OU LOSANGO H=2,0M</t>
  </si>
  <si>
    <t>ARAME FARPADO GALVANIZADO 16 BWG, CLASSE 250</t>
  </si>
  <si>
    <t>ARAME GALVANIZADO 12 BWG, 2,76 MM (0,048 KG/M)</t>
  </si>
  <si>
    <t>ARAME GALVANIZADO 14 BWG, 2,10MM (0,0272 KG/M)</t>
  </si>
  <si>
    <t>ALAMBRADO</t>
  </si>
  <si>
    <t>SINAPI - 5651</t>
  </si>
  <si>
    <t>3.1.1</t>
  </si>
  <si>
    <t>3.1.2</t>
  </si>
  <si>
    <t>3.1.3</t>
  </si>
  <si>
    <t>3.1.4</t>
  </si>
  <si>
    <t>3.1.5</t>
  </si>
  <si>
    <t>3.1.6</t>
  </si>
  <si>
    <t>3.1.7</t>
  </si>
  <si>
    <t>INSTITUTO FEDERAL DE GOIÁS</t>
  </si>
  <si>
    <t>ORÇAMENTO DA EDIFICAÇÃO</t>
  </si>
  <si>
    <t>DECLARAÇÃO</t>
  </si>
  <si>
    <t>___________________________________________</t>
  </si>
  <si>
    <r>
      <t xml:space="preserve">CLIENTE: </t>
    </r>
    <r>
      <rPr>
        <b/>
        <sz val="9"/>
        <color indexed="8"/>
        <rFont val="Arial"/>
        <family val="2"/>
      </rPr>
      <t>INSTITUTO FEDERAL DE EDUCAÇAO, CIENCIAS E TECNOLOGIA DE GOIAS - URUAÇU</t>
    </r>
  </si>
  <si>
    <t>CAMPUS URUAÇU</t>
  </si>
  <si>
    <t xml:space="preserve"> BONIFICAÇÃO E DESPESAS INDIRETAS</t>
  </si>
  <si>
    <t>DISCRIMINAÇÃO</t>
  </si>
  <si>
    <r>
      <t xml:space="preserve">B.D.I.         </t>
    </r>
    <r>
      <rPr>
        <b/>
        <sz val="9"/>
        <color indexed="8"/>
        <rFont val="Arial"/>
        <family val="2"/>
      </rPr>
      <t xml:space="preserve">    edificação</t>
    </r>
  </si>
  <si>
    <r>
      <t xml:space="preserve">B.D.I.  </t>
    </r>
    <r>
      <rPr>
        <b/>
        <sz val="8"/>
        <color indexed="8"/>
        <rFont val="Arial"/>
        <family val="2"/>
      </rPr>
      <t>equipamentos</t>
    </r>
  </si>
  <si>
    <t>TG</t>
  </si>
  <si>
    <t>Rasteio da Administração Central</t>
  </si>
  <si>
    <t>AC</t>
  </si>
  <si>
    <t>%</t>
  </si>
  <si>
    <t>Riscos</t>
  </si>
  <si>
    <t>R</t>
  </si>
  <si>
    <t>1.5</t>
  </si>
  <si>
    <t>Despesas Financeiras</t>
  </si>
  <si>
    <t>DF</t>
  </si>
  <si>
    <t>1.6</t>
  </si>
  <si>
    <t>Lucro</t>
  </si>
  <si>
    <t>L</t>
  </si>
  <si>
    <t>Impostos : I = (i°+i¹+i²+i³+i⁴)</t>
  </si>
  <si>
    <t>I</t>
  </si>
  <si>
    <t>COFINS</t>
  </si>
  <si>
    <t>i°</t>
  </si>
  <si>
    <t>ISS</t>
  </si>
  <si>
    <t>i¹</t>
  </si>
  <si>
    <t>PIS</t>
  </si>
  <si>
    <t>i²</t>
  </si>
  <si>
    <t>INSS</t>
  </si>
  <si>
    <t>i³</t>
  </si>
  <si>
    <t>2.5</t>
  </si>
  <si>
    <t>Outros</t>
  </si>
  <si>
    <r>
      <t>i</t>
    </r>
    <r>
      <rPr>
        <sz val="10"/>
        <color indexed="8"/>
        <rFont val="Calibri"/>
        <family val="2"/>
      </rPr>
      <t>⁴</t>
    </r>
  </si>
  <si>
    <t xml:space="preserve">B.D.I. presumido = { [TG / ( 1 - ( I / 100 )) ] - 1 } x 100 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</si>
  <si>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</si>
  <si>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____________________________________________________________</t>
  </si>
  <si>
    <t>CRONOGRAMA FÍSICO FINANCEIRO</t>
  </si>
  <si>
    <t>Área construida:</t>
  </si>
  <si>
    <t>Valor (R$/m²)</t>
  </si>
  <si>
    <t>% DO ITEM</t>
  </si>
  <si>
    <t>VALOR (R$)</t>
  </si>
  <si>
    <t>1 MÊS</t>
  </si>
  <si>
    <t>2 MÊS</t>
  </si>
  <si>
    <t>EDIFICAÇÕES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</si>
  <si>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</si>
  <si>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</si>
  <si>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</si>
  <si>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</si>
  <si>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</si>
  <si>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</si>
  <si>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</si>
  <si>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</si>
  <si>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</si>
  <si>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</si>
  <si>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</si>
  <si>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</si>
  <si>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</si>
  <si>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</si>
  <si>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</si>
  <si>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</si>
  <si>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</si>
  <si>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</si>
  <si>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</si>
  <si>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</si>
  <si>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</si>
  <si>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</si>
  <si>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</si>
  <si>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</si>
  <si>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</si>
  <si>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</si>
  <si>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</si>
  <si>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</si>
  <si>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</si>
  <si>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</si>
  <si>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</si>
  <si>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</si>
  <si>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</si>
  <si>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</si>
  <si>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</si>
  <si>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</si>
  <si>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</si>
  <si>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</si>
  <si>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</si>
  <si>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</si>
  <si>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</si>
  <si>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</si>
  <si>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</si>
  <si>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</si>
  <si>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</si>
  <si>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</si>
  <si>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</si>
  <si>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</si>
  <si>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</si>
  <si>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</si>
  <si>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</si>
  <si>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</si>
  <si>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</si>
  <si>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</si>
  <si>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</si>
  <si>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</si>
  <si>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</si>
  <si>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</si>
  <si>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</si>
  <si>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</si>
  <si>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TOTAL  DESEMBOLSO MENSAL</t>
  </si>
  <si>
    <t>DESEMBOLSO ACUMULADO</t>
  </si>
  <si>
    <t>%  MENSAL</t>
  </si>
  <si>
    <t>% MENSAL ACUMULADA</t>
  </si>
  <si>
    <t>________________________________________</t>
  </si>
  <si>
    <t>ORÇAMENTO RESUMO</t>
  </si>
  <si>
    <t>Engº. Civil Aleones José da Cruz Júnior</t>
  </si>
  <si>
    <t>CREA: 15296/D</t>
  </si>
  <si>
    <t>C.P.F.: 004.348.151-52</t>
  </si>
  <si>
    <t>Engº. Civil Aleones José da Cruz Júnior CREA: 15296/D</t>
  </si>
  <si>
    <t>BDI</t>
  </si>
  <si>
    <t>ALAMBRADO - ÁREA II</t>
  </si>
  <si>
    <t>Engº Civil ALEONES JOSÉ DA CRUZ JUNIOR</t>
  </si>
  <si>
    <t>CREA 15296/D</t>
  </si>
  <si>
    <t xml:space="preserve">Engº Civil ALEONES JOSÉ DA CRUZ JUNIOR </t>
  </si>
  <si>
    <t>CREA 15296/D-GO</t>
  </si>
  <si>
    <t xml:space="preserve">     Súmula 253/2010 - Tribunal de Contas da União  </t>
  </si>
  <si>
    <t xml:space="preserve">     Foi observado para elaborção deste, a Lei nº 12.844 de 19 de Julho de 2013, que trata da desoneração da folha de pagamento.</t>
  </si>
  <si>
    <t>ORÇAMENTO SINTÉTICO</t>
  </si>
  <si>
    <t>CLIENTE: INSTITUTO FEDERAL DE EDUCAÇAO, CIENCIAS E TECNOLOGIA DE GOIAS - CAMPUS URUAÇU</t>
  </si>
  <si>
    <t>Engº Civil ALEONES JOSÉ DA CRUZ JUNIOR
CREA 15296/D-GO</t>
  </si>
  <si>
    <t xml:space="preserve">B.D.I: </t>
  </si>
  <si>
    <t>TOTAL  ITEM</t>
  </si>
  <si>
    <t>BONIFICAÇÃO E DESPESAS INDIRETAS - B.D.I. ....................:</t>
  </si>
  <si>
    <t>VALOR TOTAL DA OBRA...............................................................:</t>
  </si>
  <si>
    <t>EMPREENDIMENTO: FECHAMENTO DO TERRENO - ÁREA II - ALAMBRADO COM POSTES DE CONCRETO</t>
  </si>
  <si>
    <r>
      <t>EMPREENDIMENTO:</t>
    </r>
    <r>
      <rPr>
        <sz val="11"/>
        <color indexed="8"/>
        <rFont val="Arial"/>
        <family val="2"/>
      </rPr>
      <t xml:space="preserve"> FECHAMENTO DO TERRENO - ALAMBRADO COM POSTES DE CONCRETO</t>
    </r>
  </si>
  <si>
    <t>FECHAMENTO DO TERRENO - ÁREA II - ALAMBRADO COM POSTES DE CONCRETO</t>
  </si>
  <si>
    <t>Consumo água/energia</t>
  </si>
  <si>
    <t>ESCORA OU MOURAO DE CONCRETO 10X10CM H = 2,60 M + 0,45 M</t>
  </si>
  <si>
    <t>SINAPI - 73942/002</t>
  </si>
  <si>
    <t>Aço CA-60 5,0mm (Fornecimento / corte /dobra e colocação)</t>
  </si>
  <si>
    <t>Aço CA-50 8,0mm (Fornecimento / corte /dobra e colocação)</t>
  </si>
  <si>
    <t>SINAPI - 74254/002</t>
  </si>
  <si>
    <t xml:space="preserve">ALAMBRADO C/ MOURÃO DE CONCRETO A CADA 3 M </t>
  </si>
  <si>
    <t>PEDREIRO COM ENCARGOS COMPLEMENTARES</t>
  </si>
  <si>
    <t>SERVENTE COM ENCARGOS COMPLEMENTARES</t>
  </si>
  <si>
    <t>preço total por m</t>
  </si>
  <si>
    <t>m da baldrame</t>
  </si>
  <si>
    <t>m do mourao</t>
  </si>
  <si>
    <t>total</t>
  </si>
  <si>
    <t>4.2</t>
  </si>
  <si>
    <t>4.2.1</t>
  </si>
  <si>
    <t>4.3</t>
  </si>
  <si>
    <t>4.3.1</t>
  </si>
  <si>
    <t>4.2.2</t>
  </si>
  <si>
    <t>4.3.2</t>
  </si>
  <si>
    <t>Engenheiro ou Arquiteto (Junior) - de Obra</t>
  </si>
  <si>
    <t>SINAPI - 73686</t>
  </si>
  <si>
    <t>Locação da obra, com uso de equipamentos topográficos, inclusive nivelador</t>
  </si>
  <si>
    <t>SINAPI - 79473</t>
  </si>
  <si>
    <t>Corte e aterro compensado</t>
  </si>
  <si>
    <t>MOVIMENTO DE TERRA</t>
  </si>
  <si>
    <t>ALAMBRADO COM MOURÃO DE CONCRETO</t>
  </si>
  <si>
    <t>SINAPI - 74238/002</t>
  </si>
  <si>
    <t>PINTURA A BASE DE CAL E FIXADOR A BASE DE OLEO DE LINHACA, TRES DEMAOS</t>
  </si>
  <si>
    <t>Estaca a trado, 30cm de diâmetro, concreto FCK=20Mpa (prof. 0,80m), moldada IN LOCO</t>
  </si>
  <si>
    <t>FORMA TABUA PARA CONCRETO EM BALDRAME C/ REAPROVEITAMENTO 5X</t>
  </si>
  <si>
    <t xml:space="preserve">MINISTÉRIO DA EDUCAÇÃO
SECRETARIA DE EDUCAÇÃO PROFISSIONAL E TECNOLÓGICA
INSTITUTO FEDERAL DE EDUCAÇÃO, CIÊNCIA E TECNOLOGIA DE GOIÁS
PRÓ-REITORIA DE ADMINISTRAÇÃO
DIRETORIA DE PROJETOS E INFRESTRUTURA
</t>
  </si>
  <si>
    <t>SINAPI -  73805/001</t>
  </si>
  <si>
    <t>BARRACAO DE OBRA PARA ALOJAMENTO/ESCRITORIO, PISO EM PINHO 3A, PAREDES EM COMPENSADO 10MM, COBERTURA EM TELHA FIBROCIMENTO 6MM, INCLUSO INSTALACOES ELETRICAS E ESQUADRIAS. REAPROVEITADO 5 VEZES</t>
  </si>
  <si>
    <t>SINAPI - 73948/016</t>
  </si>
  <si>
    <t>COMPOSIÇÃO DE CUSTOS ANALITICOS</t>
  </si>
  <si>
    <t>Engº Civil Aleones José da Cruz Junior - CREA 15296/D-GO</t>
  </si>
  <si>
    <t>Àrea de construção (m²):</t>
  </si>
  <si>
    <t>CÓDIGO</t>
  </si>
  <si>
    <t>UND</t>
  </si>
  <si>
    <t>DESCRIÇÃO</t>
  </si>
  <si>
    <t xml:space="preserve"> QUANTIDADE </t>
  </si>
  <si>
    <t xml:space="preserve"> PREÇO (R$) </t>
  </si>
  <si>
    <t xml:space="preserve"> VALOR (R$) </t>
  </si>
  <si>
    <t>73999/001</t>
  </si>
  <si>
    <t>1.7</t>
  </si>
  <si>
    <t>1.8</t>
  </si>
  <si>
    <t>C-01</t>
  </si>
  <si>
    <t>SINAPI-14583</t>
  </si>
  <si>
    <t>SINAPI-14250</t>
  </si>
  <si>
    <t xml:space="preserve"> DECLARAÇÃO, BDI, PLANILHA ORÇAMENTÁRIA, RESUMO, CRONOGRAMA E COMPOSIÇÕES</t>
  </si>
  <si>
    <t xml:space="preserve">         O percentual de encargos sociais adotado é de  91,50% (horista) e 52,87% (mensalista), Conforme SINAPI - Sistema Nacional de Pesquisa de Custos e Índices da Construção Civil mantido e divulgado pela Caixa Econômica Federal.</t>
  </si>
  <si>
    <t>REFERENCIA DE PREÇO: SINAPI C/ DESONERAÇÃO - GOIAS - JULHO/15</t>
  </si>
  <si>
    <t>REFERÊNCIA DE PREÇO: SINAPI JULHO/2015 DESONERADO</t>
  </si>
  <si>
    <t>Referência de Preços: SINAPI -Goiás - Julho de  2015</t>
  </si>
  <si>
    <t xml:space="preserve">        Na condição de Responsável Técnico, declaro para os devidos fins, que os quantitativos constantes na planilha orçamentária estão compatíveis com o projeto de engenharia da obra acima referenciada e que os custos unitários de insumos e serviços são iguais ou menores que a mediana de seus correspondentes no Sistema Nacional de Pesquisa de Custos e Índices da Construção Civil (SINAPI), em atendimento aos dispositivos do artigo 115 da Lei nº 12.465 de 12 de setembro de 2014.</t>
  </si>
  <si>
    <t>Goiânia, Setembro de 2015</t>
  </si>
  <si>
    <t xml:space="preserve">     Cálculo base na composição do BDI conforme acórdão TCU 2622/2013 Plenário. Relator Ministro-subtituto Marcos Bemquerer Costa. Brasília 25 de setembro de 2013.</t>
  </si>
  <si>
    <t>BDI - Bonificações e Despesas Indiretas:</t>
  </si>
  <si>
    <t>Seguro + Garantia</t>
  </si>
  <si>
    <t>SG</t>
  </si>
  <si>
    <t>Taxas Gerais: TG = [1+((AC+SG+R)/100)]x[1+(DF/100)]x[1+(L/100)]</t>
  </si>
  <si>
    <t>4 Meses</t>
  </si>
  <si>
    <t>3 MÊS</t>
  </si>
  <si>
    <t>4 MÊS</t>
  </si>
  <si>
    <t>Prazo de exacução:   4 MESES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</si>
</sst>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"/>
    <numFmt numFmtId="173" formatCode="_(&quot;R$ &quot;* #,##0.00_);_(&quot;R$ &quot;* \(#,##0.00\);_(&quot;R$ &quot;* &quot;-&quot;????_);_(@_)"/>
    <numFmt numFmtId="174" formatCode="&quot;R$ &quot;#,##0.00"/>
    <numFmt numFmtId="175" formatCode="#,##0.00_ ;[Red]\-#,##0.00\ "/>
    <numFmt numFmtId="176" formatCode="#,##0.00_ ;\-#,##0.00\ "/>
    <numFmt numFmtId="177" formatCode="0_ ;\-0\ "/>
    <numFmt numFmtId="178" formatCode="&quot;R$&quot;\ #,##0.00"/>
    <numFmt numFmtId="179" formatCode="#,##0.000;\-#,##0.000"/>
    <numFmt numFmtId="180" formatCode="#,##0.0;\-#,##0.0"/>
    <numFmt numFmtId="181" formatCode="#,##0.00&quot; &quot;;&quot; (&quot;#,##0.00&quot;)&quot;;&quot; -&quot;#&quot; &quot;;@&quot; &quot;"/>
    <numFmt numFmtId="182" formatCode="#,#00"/>
    <numFmt numFmtId="183" formatCode="General_)"/>
    <numFmt numFmtId="184" formatCode="%#,#00"/>
    <numFmt numFmtId="185" formatCode="#.##000"/>
    <numFmt numFmtId="186" formatCode="[$R$-416]&quot; &quot;#,##0.00;[Red]&quot;-&quot;[$R$-416]&quot; &quot;#,##0.00"/>
    <numFmt numFmtId="187" formatCode="#,"/>
    <numFmt numFmtId="188" formatCode="[$-416]dddd\,\ d&quot; de &quot;mmmm&quot; de &quot;yyyy"/>
    <numFmt numFmtId="189" formatCode="_(* #,##0.0000_);_(* \(#,##0.0000\);_(* &quot;-&quot;??_);_(@_)"/>
    <numFmt numFmtId="190" formatCode="_(* #,##0.0000000000000_);_(* \(#,##0.0000000000000\);_(* &quot;-&quot;??_);_(@_)"/>
    <numFmt numFmtId="191" formatCode="#,##0.00\ ;&quot; (&quot;#,##0.00\);&quot; -&quot;#\ ;@\ "/>
    <numFmt numFmtId="192" formatCode="0.0%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Sim&quot;;&quot;Sim&quot;;&quot;Não&quot;"/>
    <numFmt numFmtId="199" formatCode="&quot;Verdadeiro&quot;;&quot;Verdadeiro&quot;;&quot;Falso&quot;"/>
    <numFmt numFmtId="200" formatCode="&quot;Ativado&quot;;&quot;Ativado&quot;;&quot;Desativado&quot;"/>
    <numFmt numFmtId="201" formatCode="[$€-2]\ #,##0.00_);[Red]\([$€-2]\ #,##0.00\)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0"/>
      <color indexed="10"/>
      <name val="Times New Roman"/>
      <family val="1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sz val="11"/>
      <name val="Arial"/>
      <family val="2"/>
    </font>
    <font>
      <b/>
      <i/>
      <u val="single"/>
      <sz val="11"/>
      <color indexed="8"/>
      <name val="Arial"/>
      <family val="2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22"/>
      <name val="Arial"/>
      <family val="2"/>
    </font>
    <font>
      <sz val="22"/>
      <name val="Times New Roman"/>
      <family val="1"/>
    </font>
    <font>
      <b/>
      <sz val="2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7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Verdana"/>
      <family val="2"/>
    </font>
    <font>
      <sz val="7"/>
      <color indexed="8"/>
      <name val="Arial"/>
      <family val="2"/>
    </font>
    <font>
      <b/>
      <sz val="10"/>
      <color indexed="8"/>
      <name val="Verdana"/>
      <family val="2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339966"/>
      <name val="Arial"/>
      <family val="2"/>
    </font>
    <font>
      <sz val="10"/>
      <color rgb="FF000000"/>
      <name val="Arial"/>
      <family val="2"/>
    </font>
    <font>
      <sz val="10"/>
      <color rgb="FF339966"/>
      <name val="Arial"/>
      <family val="2"/>
    </font>
    <font>
      <b/>
      <sz val="10"/>
      <color rgb="FF008000"/>
      <name val="Arial"/>
      <family val="2"/>
    </font>
    <font>
      <sz val="8"/>
      <color rgb="FFFF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Verdana"/>
      <family val="2"/>
    </font>
    <font>
      <sz val="7"/>
      <color rgb="FF000000"/>
      <name val="Arial"/>
      <family val="2"/>
    </font>
    <font>
      <b/>
      <sz val="10"/>
      <color rgb="FF000000"/>
      <name val="Verdana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/>
      <bottom style="medium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 style="medium"/>
      <right style="hair"/>
      <top style="hair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</borders>
  <cellStyleXfs count="2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72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72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2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2" fillId="2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72" fillId="2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3" fillId="2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74" fillId="30" borderId="1" applyNumberFormat="0" applyAlignment="0" applyProtection="0"/>
    <xf numFmtId="0" fontId="41" fillId="31" borderId="2" applyNumberFormat="0" applyAlignment="0" applyProtection="0"/>
    <xf numFmtId="0" fontId="41" fillId="31" borderId="2" applyNumberFormat="0" applyAlignment="0" applyProtection="0"/>
    <xf numFmtId="0" fontId="75" fillId="32" borderId="3" applyNumberFormat="0" applyAlignment="0" applyProtection="0"/>
    <xf numFmtId="0" fontId="17" fillId="33" borderId="4" applyNumberFormat="0" applyAlignment="0" applyProtection="0"/>
    <xf numFmtId="0" fontId="17" fillId="33" borderId="4" applyNumberFormat="0" applyAlignment="0" applyProtection="0"/>
    <xf numFmtId="0" fontId="76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7" fillId="0" borderId="0">
      <alignment/>
      <protection locked="0"/>
    </xf>
    <xf numFmtId="0" fontId="7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2" fillId="3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72" fillId="3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2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2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72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7" fillId="44" borderId="1" applyNumberFormat="0" applyAlignment="0" applyProtection="0"/>
    <xf numFmtId="0" fontId="18" fillId="16" borderId="2" applyNumberFormat="0" applyAlignment="0" applyProtection="0"/>
    <xf numFmtId="0" fontId="18" fillId="16" borderId="2" applyNumberFormat="0" applyAlignment="0" applyProtection="0"/>
    <xf numFmtId="181" fontId="8" fillId="0" borderId="0">
      <alignment/>
      <protection/>
    </xf>
    <xf numFmtId="182" fontId="7" fillId="0" borderId="0">
      <alignment/>
      <protection locked="0"/>
    </xf>
    <xf numFmtId="0" fontId="9" fillId="0" borderId="0">
      <alignment horizontal="center"/>
      <protection/>
    </xf>
    <xf numFmtId="0" fontId="9" fillId="0" borderId="0">
      <alignment horizontal="center" textRotation="90"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0" fillId="47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48" borderId="7" applyNumberFormat="0" applyFont="0" applyAlignment="0" applyProtection="0"/>
    <xf numFmtId="0" fontId="4" fillId="7" borderId="8" applyNumberFormat="0" applyAlignment="0" applyProtection="0"/>
    <xf numFmtId="0" fontId="4" fillId="7" borderId="8" applyNumberFormat="0" applyAlignment="0" applyProtection="0"/>
    <xf numFmtId="9" fontId="81" fillId="0" borderId="0" applyFont="0" applyFill="0" applyBorder="0" applyAlignment="0" applyProtection="0"/>
    <xf numFmtId="184" fontId="7" fillId="0" borderId="0">
      <alignment/>
      <protection locked="0"/>
    </xf>
    <xf numFmtId="185" fontId="7" fillId="0" borderId="0">
      <alignment/>
      <protection locked="0"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3" fillId="0" borderId="0">
      <alignment/>
      <protection/>
    </xf>
    <xf numFmtId="186" fontId="13" fillId="0" borderId="0">
      <alignment/>
      <protection/>
    </xf>
    <xf numFmtId="0" fontId="82" fillId="30" borderId="9" applyNumberFormat="0" applyAlignment="0" applyProtection="0"/>
    <xf numFmtId="0" fontId="20" fillId="31" borderId="10" applyNumberFormat="0" applyAlignment="0" applyProtection="0"/>
    <xf numFmtId="0" fontId="20" fillId="31" borderId="10" applyNumberFormat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88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8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14" fillId="0" borderId="0">
      <alignment/>
      <protection locked="0"/>
    </xf>
    <xf numFmtId="187" fontId="14" fillId="0" borderId="0">
      <alignment/>
      <protection locked="0"/>
    </xf>
    <xf numFmtId="0" fontId="89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34">
    <xf numFmtId="0" fontId="0" fillId="0" borderId="0" xfId="0" applyFont="1" applyAlignment="1">
      <alignment/>
    </xf>
    <xf numFmtId="0" fontId="90" fillId="0" borderId="0" xfId="0" applyFont="1" applyAlignment="1">
      <alignment/>
    </xf>
    <xf numFmtId="172" fontId="90" fillId="0" borderId="0" xfId="0" applyNumberFormat="1" applyFont="1" applyAlignment="1">
      <alignment/>
    </xf>
    <xf numFmtId="170" fontId="91" fillId="49" borderId="0" xfId="0" applyNumberFormat="1" applyFont="1" applyFill="1" applyBorder="1" applyAlignment="1">
      <alignment horizontal="right" wrapText="1"/>
    </xf>
    <xf numFmtId="173" fontId="92" fillId="0" borderId="0" xfId="0" applyNumberFormat="1" applyFont="1" applyAlignment="1">
      <alignment/>
    </xf>
    <xf numFmtId="49" fontId="9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136" applyFont="1" applyFill="1" applyBorder="1" applyAlignment="1">
      <alignment/>
      <protection/>
    </xf>
    <xf numFmtId="0" fontId="2" fillId="0" borderId="0" xfId="136" applyFont="1" applyFill="1" applyBorder="1" applyAlignment="1">
      <alignment horizontal="center"/>
      <protection/>
    </xf>
    <xf numFmtId="4" fontId="2" fillId="0" borderId="0" xfId="136" applyNumberFormat="1" applyFont="1" applyFill="1" applyBorder="1" applyAlignment="1">
      <alignment horizontal="center"/>
      <protection/>
    </xf>
    <xf numFmtId="0" fontId="2" fillId="0" borderId="0" xfId="136" applyFont="1" applyFill="1" applyAlignment="1">
      <alignment/>
      <protection/>
    </xf>
    <xf numFmtId="4" fontId="2" fillId="0" borderId="0" xfId="136" applyNumberFormat="1" applyFont="1" applyFill="1" applyAlignment="1">
      <alignment/>
      <protection/>
    </xf>
    <xf numFmtId="0" fontId="6" fillId="50" borderId="0" xfId="136" applyFont="1" applyFill="1" applyBorder="1" applyAlignment="1">
      <alignment vertical="center" wrapText="1"/>
      <protection/>
    </xf>
    <xf numFmtId="4" fontId="3" fillId="0" borderId="0" xfId="0" applyNumberFormat="1" applyFont="1" applyAlignment="1">
      <alignment wrapText="1"/>
    </xf>
    <xf numFmtId="0" fontId="90" fillId="0" borderId="0" xfId="0" applyFont="1" applyAlignment="1">
      <alignment vertical="center"/>
    </xf>
    <xf numFmtId="170" fontId="90" fillId="0" borderId="0" xfId="0" applyNumberFormat="1" applyFont="1" applyAlignment="1">
      <alignment horizontal="center" vertical="center"/>
    </xf>
    <xf numFmtId="17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2" fillId="0" borderId="0" xfId="136" applyFont="1" applyFill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0" fillId="0" borderId="0" xfId="0" applyFont="1" applyAlignment="1">
      <alignment horizontal="center" vertical="top"/>
    </xf>
    <xf numFmtId="0" fontId="4" fillId="0" borderId="20" xfId="126" applyBorder="1" applyAlignment="1" applyProtection="1">
      <alignment horizontal="center" vertical="center" wrapText="1"/>
      <protection/>
    </xf>
    <xf numFmtId="0" fontId="4" fillId="0" borderId="21" xfId="126" applyBorder="1" applyAlignment="1" applyProtection="1">
      <alignment horizontal="center" vertical="center" wrapText="1"/>
      <protection/>
    </xf>
    <xf numFmtId="0" fontId="4" fillId="0" borderId="22" xfId="126" applyBorder="1" applyAlignment="1" applyProtection="1">
      <alignment horizontal="center" vertical="center" wrapText="1"/>
      <protection/>
    </xf>
    <xf numFmtId="0" fontId="4" fillId="0" borderId="23" xfId="126" applyBorder="1" applyAlignment="1" applyProtection="1">
      <alignment horizontal="center" vertical="center" wrapText="1"/>
      <protection/>
    </xf>
    <xf numFmtId="0" fontId="4" fillId="0" borderId="0" xfId="126" applyBorder="1" applyAlignment="1" applyProtection="1">
      <alignment horizontal="center" vertical="center" wrapText="1"/>
      <protection/>
    </xf>
    <xf numFmtId="0" fontId="4" fillId="0" borderId="24" xfId="126" applyBorder="1" applyAlignment="1" applyProtection="1">
      <alignment horizontal="center" vertical="center" wrapText="1"/>
      <protection/>
    </xf>
    <xf numFmtId="0" fontId="4" fillId="0" borderId="0" xfId="126" applyFill="1" applyBorder="1" applyAlignment="1" applyProtection="1">
      <alignment horizontal="center" vertical="center" wrapText="1"/>
      <protection/>
    </xf>
    <xf numFmtId="0" fontId="4" fillId="0" borderId="23" xfId="126" applyBorder="1" applyProtection="1">
      <alignment/>
      <protection/>
    </xf>
    <xf numFmtId="0" fontId="4" fillId="0" borderId="0" xfId="126" applyBorder="1" applyProtection="1">
      <alignment/>
      <protection/>
    </xf>
    <xf numFmtId="0" fontId="4" fillId="0" borderId="24" xfId="126" applyBorder="1" applyProtection="1">
      <alignment/>
      <protection/>
    </xf>
    <xf numFmtId="0" fontId="25" fillId="0" borderId="23" xfId="126" applyFont="1" applyBorder="1" applyProtection="1">
      <alignment/>
      <protection/>
    </xf>
    <xf numFmtId="0" fontId="26" fillId="0" borderId="0" xfId="126" applyFont="1" applyBorder="1" applyAlignment="1" applyProtection="1">
      <alignment horizontal="center"/>
      <protection/>
    </xf>
    <xf numFmtId="0" fontId="25" fillId="0" borderId="0" xfId="126" applyFont="1" applyBorder="1" applyProtection="1">
      <alignment/>
      <protection/>
    </xf>
    <xf numFmtId="0" fontId="25" fillId="0" borderId="24" xfId="126" applyFont="1" applyBorder="1" applyProtection="1">
      <alignment/>
      <protection/>
    </xf>
    <xf numFmtId="0" fontId="27" fillId="0" borderId="23" xfId="126" applyFont="1" applyBorder="1" applyAlignment="1" applyProtection="1">
      <alignment/>
      <protection/>
    </xf>
    <xf numFmtId="0" fontId="27" fillId="0" borderId="0" xfId="126" applyFont="1" applyBorder="1" applyAlignment="1" applyProtection="1">
      <alignment/>
      <protection/>
    </xf>
    <xf numFmtId="0" fontId="27" fillId="0" borderId="24" xfId="126" applyFont="1" applyBorder="1" applyAlignment="1" applyProtection="1">
      <alignment/>
      <protection/>
    </xf>
    <xf numFmtId="0" fontId="4" fillId="0" borderId="25" xfId="126" applyBorder="1" applyProtection="1">
      <alignment/>
      <protection/>
    </xf>
    <xf numFmtId="0" fontId="4" fillId="0" borderId="26" xfId="126" applyBorder="1" applyProtection="1">
      <alignment/>
      <protection/>
    </xf>
    <xf numFmtId="0" fontId="4" fillId="0" borderId="27" xfId="126" applyBorder="1" applyProtection="1">
      <alignment/>
      <protection/>
    </xf>
    <xf numFmtId="0" fontId="93" fillId="0" borderId="0" xfId="126" applyFont="1" applyProtection="1">
      <alignment/>
      <protection/>
    </xf>
    <xf numFmtId="0" fontId="94" fillId="0" borderId="0" xfId="126" applyFont="1" applyProtection="1">
      <alignment/>
      <protection/>
    </xf>
    <xf numFmtId="171" fontId="94" fillId="0" borderId="0" xfId="237" applyFont="1" applyAlignment="1" applyProtection="1">
      <alignment/>
      <protection/>
    </xf>
    <xf numFmtId="171" fontId="94" fillId="0" borderId="0" xfId="237" applyFont="1" applyAlignment="1" applyProtection="1">
      <alignment horizontal="left"/>
      <protection/>
    </xf>
    <xf numFmtId="0" fontId="94" fillId="0" borderId="0" xfId="126" applyFont="1" applyAlignment="1" applyProtection="1">
      <alignment horizontal="left"/>
      <protection/>
    </xf>
    <xf numFmtId="0" fontId="95" fillId="0" borderId="0" xfId="126" applyFont="1" applyFill="1" applyBorder="1" applyAlignment="1" applyProtection="1">
      <alignment horizontal="center" vertical="center"/>
      <protection/>
    </xf>
    <xf numFmtId="0" fontId="96" fillId="0" borderId="0" xfId="126" applyFont="1" applyFill="1" applyBorder="1" applyAlignment="1" applyProtection="1">
      <alignment horizontal="left"/>
      <protection/>
    </xf>
    <xf numFmtId="0" fontId="97" fillId="0" borderId="0" xfId="126" applyFont="1" applyFill="1" applyBorder="1" applyAlignment="1" applyProtection="1">
      <alignment horizontal="left"/>
      <protection/>
    </xf>
    <xf numFmtId="171" fontId="97" fillId="0" borderId="0" xfId="237" applyFont="1" applyFill="1" applyBorder="1" applyAlignment="1" applyProtection="1">
      <alignment horizontal="left"/>
      <protection/>
    </xf>
    <xf numFmtId="0" fontId="97" fillId="0" borderId="0" xfId="126" applyFont="1" applyAlignment="1" applyProtection="1">
      <alignment horizontal="left"/>
      <protection/>
    </xf>
    <xf numFmtId="2" fontId="93" fillId="0" borderId="0" xfId="126" applyNumberFormat="1" applyFont="1" applyAlignment="1" applyProtection="1">
      <alignment horizontal="left" vertical="center" wrapText="1"/>
      <protection/>
    </xf>
    <xf numFmtId="0" fontId="94" fillId="0" borderId="0" xfId="126" applyFont="1" applyAlignment="1" applyProtection="1">
      <alignment horizontal="left" vertical="center"/>
      <protection/>
    </xf>
    <xf numFmtId="0" fontId="93" fillId="0" borderId="0" xfId="126" applyFont="1" applyAlignment="1" applyProtection="1">
      <alignment horizontal="left"/>
      <protection/>
    </xf>
    <xf numFmtId="0" fontId="94" fillId="0" borderId="0" xfId="126" applyFont="1" applyBorder="1" applyAlignment="1" applyProtection="1">
      <alignment horizontal="left"/>
      <protection/>
    </xf>
    <xf numFmtId="0" fontId="4" fillId="0" borderId="0" xfId="126" applyFont="1" applyFill="1" applyBorder="1" applyAlignment="1" applyProtection="1">
      <alignment horizontal="center" vertical="center"/>
      <protection/>
    </xf>
    <xf numFmtId="0" fontId="94" fillId="0" borderId="28" xfId="126" applyFont="1" applyBorder="1" applyAlignment="1" applyProtection="1">
      <alignment vertical="center"/>
      <protection/>
    </xf>
    <xf numFmtId="0" fontId="94" fillId="0" borderId="24" xfId="126" applyFont="1" applyBorder="1" applyProtection="1">
      <alignment/>
      <protection/>
    </xf>
    <xf numFmtId="0" fontId="94" fillId="0" borderId="29" xfId="126" applyFont="1" applyBorder="1" applyProtection="1">
      <alignment/>
      <protection/>
    </xf>
    <xf numFmtId="0" fontId="30" fillId="51" borderId="30" xfId="126" applyFont="1" applyFill="1" applyBorder="1" applyAlignment="1" applyProtection="1">
      <alignment vertical="center" wrapText="1"/>
      <protection/>
    </xf>
    <xf numFmtId="0" fontId="32" fillId="51" borderId="31" xfId="126" applyFont="1" applyFill="1" applyBorder="1" applyAlignment="1" applyProtection="1">
      <alignment horizontal="center" vertical="center" wrapText="1"/>
      <protection/>
    </xf>
    <xf numFmtId="0" fontId="32" fillId="51" borderId="31" xfId="126" applyFont="1" applyFill="1" applyBorder="1" applyAlignment="1" applyProtection="1">
      <alignment vertical="center" wrapText="1"/>
      <protection/>
    </xf>
    <xf numFmtId="0" fontId="30" fillId="52" borderId="32" xfId="126" applyFont="1" applyFill="1" applyBorder="1" applyAlignment="1" applyProtection="1">
      <alignment horizontal="center"/>
      <protection/>
    </xf>
    <xf numFmtId="0" fontId="34" fillId="52" borderId="33" xfId="126" applyFont="1" applyFill="1" applyBorder="1" applyProtection="1">
      <alignment/>
      <protection/>
    </xf>
    <xf numFmtId="0" fontId="32" fillId="52" borderId="33" xfId="126" applyFont="1" applyFill="1" applyBorder="1" applyAlignment="1" applyProtection="1">
      <alignment horizontal="center"/>
      <protection/>
    </xf>
    <xf numFmtId="0" fontId="35" fillId="0" borderId="32" xfId="126" applyFont="1" applyFill="1" applyBorder="1" applyAlignment="1" applyProtection="1">
      <alignment horizontal="center"/>
      <protection/>
    </xf>
    <xf numFmtId="0" fontId="34" fillId="0" borderId="33" xfId="126" applyFont="1" applyFill="1" applyBorder="1" applyProtection="1">
      <alignment/>
      <protection/>
    </xf>
    <xf numFmtId="0" fontId="34" fillId="0" borderId="33" xfId="126" applyFont="1" applyFill="1" applyBorder="1" applyAlignment="1" applyProtection="1">
      <alignment horizontal="center"/>
      <protection/>
    </xf>
    <xf numFmtId="171" fontId="34" fillId="0" borderId="34" xfId="198" applyFont="1" applyFill="1" applyBorder="1" applyAlignment="1" applyProtection="1">
      <alignment/>
      <protection locked="0"/>
    </xf>
    <xf numFmtId="171" fontId="34" fillId="0" borderId="35" xfId="198" applyFont="1" applyFill="1" applyBorder="1" applyAlignment="1" applyProtection="1">
      <alignment horizontal="center"/>
      <protection locked="0"/>
    </xf>
    <xf numFmtId="171" fontId="34" fillId="0" borderId="34" xfId="198" applyNumberFormat="1" applyFont="1" applyFill="1" applyBorder="1" applyAlignment="1" applyProtection="1">
      <alignment/>
      <protection locked="0"/>
    </xf>
    <xf numFmtId="171" fontId="34" fillId="0" borderId="36" xfId="198" applyFont="1" applyFill="1" applyBorder="1" applyAlignment="1" applyProtection="1">
      <alignment horizontal="left"/>
      <protection/>
    </xf>
    <xf numFmtId="0" fontId="34" fillId="0" borderId="33" xfId="126" applyFont="1" applyFill="1" applyBorder="1" applyAlignment="1" applyProtection="1">
      <alignment horizontal="left"/>
      <protection/>
    </xf>
    <xf numFmtId="171" fontId="34" fillId="52" borderId="34" xfId="198" applyFont="1" applyFill="1" applyBorder="1" applyAlignment="1" applyProtection="1">
      <alignment/>
      <protection/>
    </xf>
    <xf numFmtId="171" fontId="34" fillId="51" borderId="35" xfId="198" applyFont="1" applyFill="1" applyBorder="1" applyAlignment="1" applyProtection="1">
      <alignment horizontal="center"/>
      <protection locked="0"/>
    </xf>
    <xf numFmtId="171" fontId="34" fillId="52" borderId="36" xfId="198" applyFont="1" applyFill="1" applyBorder="1" applyAlignment="1" applyProtection="1">
      <alignment horizontal="left"/>
      <protection/>
    </xf>
    <xf numFmtId="0" fontId="35" fillId="0" borderId="37" xfId="126" applyFont="1" applyFill="1" applyBorder="1" applyAlignment="1" applyProtection="1">
      <alignment horizontal="center"/>
      <protection/>
    </xf>
    <xf numFmtId="0" fontId="34" fillId="0" borderId="38" xfId="126" applyFont="1" applyFill="1" applyBorder="1" applyAlignment="1" applyProtection="1">
      <alignment horizontal="left"/>
      <protection/>
    </xf>
    <xf numFmtId="0" fontId="34" fillId="0" borderId="38" xfId="126" applyFont="1" applyFill="1" applyBorder="1" applyAlignment="1" applyProtection="1">
      <alignment horizontal="center"/>
      <protection/>
    </xf>
    <xf numFmtId="171" fontId="34" fillId="0" borderId="39" xfId="198" applyFont="1" applyFill="1" applyBorder="1" applyAlignment="1" applyProtection="1">
      <alignment/>
      <protection locked="0"/>
    </xf>
    <xf numFmtId="171" fontId="34" fillId="0" borderId="40" xfId="198" applyFont="1" applyFill="1" applyBorder="1" applyAlignment="1" applyProtection="1">
      <alignment horizontal="center"/>
      <protection locked="0"/>
    </xf>
    <xf numFmtId="171" fontId="34" fillId="0" borderId="41" xfId="198" applyFont="1" applyFill="1" applyBorder="1" applyAlignment="1" applyProtection="1">
      <alignment horizontal="left"/>
      <protection/>
    </xf>
    <xf numFmtId="0" fontId="30" fillId="52" borderId="42" xfId="126" applyFont="1" applyFill="1" applyBorder="1" applyAlignment="1" applyProtection="1">
      <alignment horizontal="center"/>
      <protection/>
    </xf>
    <xf numFmtId="0" fontId="32" fillId="52" borderId="43" xfId="126" applyFont="1" applyFill="1" applyBorder="1" applyAlignment="1" applyProtection="1">
      <alignment horizontal="left"/>
      <protection/>
    </xf>
    <xf numFmtId="0" fontId="32" fillId="52" borderId="44" xfId="126" applyFont="1" applyFill="1" applyBorder="1" applyAlignment="1" applyProtection="1">
      <alignment horizontal="center"/>
      <protection/>
    </xf>
    <xf numFmtId="171" fontId="32" fillId="52" borderId="45" xfId="198" applyFont="1" applyFill="1" applyBorder="1" applyAlignment="1" applyProtection="1">
      <alignment/>
      <protection/>
    </xf>
    <xf numFmtId="171" fontId="32" fillId="52" borderId="46" xfId="198" applyFont="1" applyFill="1" applyBorder="1" applyAlignment="1" applyProtection="1">
      <alignment horizontal="left"/>
      <protection/>
    </xf>
    <xf numFmtId="0" fontId="96" fillId="0" borderId="23" xfId="126" applyFont="1" applyFill="1" applyBorder="1" applyAlignment="1" applyProtection="1">
      <alignment horizontal="center"/>
      <protection/>
    </xf>
    <xf numFmtId="0" fontId="97" fillId="0" borderId="0" xfId="126" applyFont="1" applyBorder="1" applyProtection="1">
      <alignment/>
      <protection/>
    </xf>
    <xf numFmtId="0" fontId="97" fillId="0" borderId="24" xfId="126" applyFont="1" applyBorder="1" applyProtection="1">
      <alignment/>
      <protection/>
    </xf>
    <xf numFmtId="171" fontId="97" fillId="0" borderId="0" xfId="126" applyNumberFormat="1" applyFont="1" applyBorder="1" applyProtection="1">
      <alignment/>
      <protection/>
    </xf>
    <xf numFmtId="0" fontId="97" fillId="0" borderId="24" xfId="126" applyFont="1" applyBorder="1" applyAlignment="1" applyProtection="1">
      <alignment horizontal="left"/>
      <protection/>
    </xf>
    <xf numFmtId="0" fontId="94" fillId="0" borderId="24" xfId="126" applyFont="1" applyBorder="1" applyAlignment="1" applyProtection="1">
      <alignment horizontal="left"/>
      <protection/>
    </xf>
    <xf numFmtId="0" fontId="93" fillId="0" borderId="23" xfId="126" applyFont="1" applyBorder="1" applyProtection="1">
      <alignment/>
      <protection/>
    </xf>
    <xf numFmtId="0" fontId="94" fillId="0" borderId="0" xfId="198" applyNumberFormat="1" applyFont="1" applyFill="1" applyBorder="1" applyAlignment="1" applyProtection="1">
      <alignment vertical="center" wrapText="1"/>
      <protection/>
    </xf>
    <xf numFmtId="0" fontId="94" fillId="0" borderId="0" xfId="126" applyFont="1" applyBorder="1" applyProtection="1">
      <alignment/>
      <protection/>
    </xf>
    <xf numFmtId="171" fontId="94" fillId="0" borderId="0" xfId="198" applyFont="1" applyBorder="1" applyAlignment="1" applyProtection="1">
      <alignment/>
      <protection/>
    </xf>
    <xf numFmtId="171" fontId="31" fillId="0" borderId="0" xfId="198" applyFont="1" applyFill="1" applyBorder="1" applyAlignment="1" applyProtection="1">
      <alignment horizontal="center" vertical="center"/>
      <protection/>
    </xf>
    <xf numFmtId="0" fontId="93" fillId="0" borderId="25" xfId="126" applyFont="1" applyBorder="1" applyProtection="1">
      <alignment/>
      <protection/>
    </xf>
    <xf numFmtId="171" fontId="31" fillId="0" borderId="26" xfId="198" applyFont="1" applyFill="1" applyBorder="1" applyAlignment="1" applyProtection="1">
      <alignment horizontal="center" vertical="center"/>
      <protection/>
    </xf>
    <xf numFmtId="0" fontId="94" fillId="0" borderId="27" xfId="126" applyFont="1" applyBorder="1" applyProtection="1">
      <alignment/>
      <protection/>
    </xf>
    <xf numFmtId="0" fontId="37" fillId="0" borderId="0" xfId="126" applyFont="1" applyFill="1" applyProtection="1">
      <alignment/>
      <protection locked="0"/>
    </xf>
    <xf numFmtId="0" fontId="37" fillId="0" borderId="0" xfId="126" applyFont="1" applyFill="1" applyBorder="1" applyProtection="1">
      <alignment/>
      <protection locked="0"/>
    </xf>
    <xf numFmtId="0" fontId="38" fillId="0" borderId="0" xfId="126" applyFont="1" applyFill="1" applyProtection="1">
      <alignment/>
      <protection/>
    </xf>
    <xf numFmtId="0" fontId="4" fillId="0" borderId="0" xfId="126" applyFont="1" applyFill="1" applyProtection="1">
      <alignment/>
      <protection/>
    </xf>
    <xf numFmtId="0" fontId="4" fillId="0" borderId="0" xfId="126" applyFont="1" applyFill="1" applyBorder="1" applyProtection="1">
      <alignment/>
      <protection/>
    </xf>
    <xf numFmtId="171" fontId="4" fillId="0" borderId="0" xfId="126" applyNumberFormat="1" applyFont="1" applyFill="1" applyProtection="1">
      <alignment/>
      <protection/>
    </xf>
    <xf numFmtId="10" fontId="4" fillId="0" borderId="0" xfId="126" applyNumberFormat="1" applyFont="1" applyFill="1" applyBorder="1" applyProtection="1">
      <alignment/>
      <protection/>
    </xf>
    <xf numFmtId="171" fontId="37" fillId="0" borderId="0" xfId="234" applyFont="1" applyFill="1" applyBorder="1" applyAlignment="1" applyProtection="1">
      <alignment horizontal="center" vertical="center"/>
      <protection locked="0"/>
    </xf>
    <xf numFmtId="0" fontId="40" fillId="0" borderId="0" xfId="126" applyFont="1" applyFill="1" applyAlignment="1" applyProtection="1">
      <alignment/>
      <protection locked="0"/>
    </xf>
    <xf numFmtId="0" fontId="37" fillId="0" borderId="0" xfId="126" applyFont="1" applyFill="1" applyAlignment="1" applyProtection="1">
      <alignment horizontal="center" vertical="center"/>
      <protection locked="0"/>
    </xf>
    <xf numFmtId="171" fontId="37" fillId="0" borderId="0" xfId="234" applyFont="1" applyFill="1" applyAlignment="1" applyProtection="1">
      <alignment horizontal="right" vertical="center"/>
      <protection locked="0"/>
    </xf>
    <xf numFmtId="4" fontId="37" fillId="0" borderId="0" xfId="234" applyNumberFormat="1" applyFont="1" applyFill="1" applyAlignment="1" applyProtection="1">
      <alignment horizontal="center"/>
      <protection locked="0"/>
    </xf>
    <xf numFmtId="43" fontId="37" fillId="0" borderId="0" xfId="238" applyFont="1" applyAlignment="1">
      <alignment/>
    </xf>
    <xf numFmtId="0" fontId="94" fillId="0" borderId="0" xfId="126" applyFont="1" applyAlignment="1" applyProtection="1">
      <alignment vertical="center"/>
      <protection/>
    </xf>
    <xf numFmtId="0" fontId="94" fillId="0" borderId="0" xfId="126" applyFont="1" applyAlignment="1" applyProtection="1">
      <alignment vertical="center" wrapText="1"/>
      <protection/>
    </xf>
    <xf numFmtId="0" fontId="97" fillId="0" borderId="0" xfId="126" applyFont="1" applyProtection="1">
      <alignment/>
      <protection/>
    </xf>
    <xf numFmtId="171" fontId="94" fillId="0" borderId="0" xfId="198" applyFont="1" applyAlignment="1" applyProtection="1">
      <alignment/>
      <protection/>
    </xf>
    <xf numFmtId="0" fontId="94" fillId="0" borderId="0" xfId="126" applyFont="1" applyFill="1" applyAlignment="1" applyProtection="1">
      <alignment vertical="center"/>
      <protection/>
    </xf>
    <xf numFmtId="0" fontId="94" fillId="0" borderId="0" xfId="126" applyFont="1" applyFill="1" applyAlignment="1" applyProtection="1">
      <alignment horizontal="left"/>
      <protection/>
    </xf>
    <xf numFmtId="171" fontId="94" fillId="0" borderId="0" xfId="237" applyFont="1" applyFill="1" applyAlignment="1" applyProtection="1">
      <alignment horizontal="left"/>
      <protection/>
    </xf>
    <xf numFmtId="0" fontId="37" fillId="0" borderId="0" xfId="126" applyFont="1" applyFill="1" applyProtection="1">
      <alignment/>
      <protection/>
    </xf>
    <xf numFmtId="0" fontId="27" fillId="0" borderId="0" xfId="126" applyFont="1" applyFill="1" applyBorder="1" applyAlignment="1" applyProtection="1">
      <alignment horizontal="center" vertical="center" wrapText="1"/>
      <protection/>
    </xf>
    <xf numFmtId="0" fontId="28" fillId="0" borderId="47" xfId="178" applyFont="1" applyFill="1" applyBorder="1" applyAlignment="1" applyProtection="1">
      <alignment horizontal="center" vertical="center" wrapText="1"/>
      <protection/>
    </xf>
    <xf numFmtId="0" fontId="4" fillId="0" borderId="0" xfId="126" applyFont="1" applyFill="1" applyProtection="1">
      <alignment/>
      <protection locked="0"/>
    </xf>
    <xf numFmtId="0" fontId="39" fillId="0" borderId="0" xfId="126" applyFont="1" applyFill="1" applyBorder="1" applyAlignment="1" applyProtection="1">
      <alignment horizontal="center" vertical="center"/>
      <protection locked="0"/>
    </xf>
    <xf numFmtId="0" fontId="39" fillId="0" borderId="0" xfId="126" applyFont="1" applyFill="1" applyBorder="1" applyProtection="1">
      <alignment/>
      <protection locked="0"/>
    </xf>
    <xf numFmtId="171" fontId="39" fillId="0" borderId="0" xfId="234" applyFont="1" applyFill="1" applyBorder="1" applyAlignment="1" applyProtection="1">
      <alignment horizontal="center" vertical="center"/>
      <protection locked="0"/>
    </xf>
    <xf numFmtId="0" fontId="40" fillId="0" borderId="0" xfId="126" applyFont="1" applyFill="1" applyBorder="1" applyAlignment="1" applyProtection="1">
      <alignment horizontal="center"/>
      <protection locked="0"/>
    </xf>
    <xf numFmtId="0" fontId="37" fillId="0" borderId="0" xfId="126" applyFont="1" applyFill="1" applyBorder="1" applyAlignment="1" applyProtection="1">
      <alignment horizontal="center" vertical="center"/>
      <protection locked="0"/>
    </xf>
    <xf numFmtId="171" fontId="37" fillId="0" borderId="0" xfId="234" applyFont="1" applyFill="1" applyAlignment="1" applyProtection="1">
      <alignment horizontal="center" vertical="center"/>
      <protection locked="0"/>
    </xf>
    <xf numFmtId="0" fontId="4" fillId="0" borderId="0" xfId="126" applyProtection="1">
      <alignment/>
      <protection/>
    </xf>
    <xf numFmtId="0" fontId="25" fillId="0" borderId="0" xfId="126" applyFont="1" applyProtection="1">
      <alignment/>
      <protection/>
    </xf>
    <xf numFmtId="0" fontId="98" fillId="0" borderId="48" xfId="126" applyFont="1" applyFill="1" applyBorder="1" applyAlignment="1" applyProtection="1">
      <alignment horizontal="left"/>
      <protection locked="0"/>
    </xf>
    <xf numFmtId="0" fontId="90" fillId="0" borderId="0" xfId="0" applyFont="1" applyBorder="1" applyAlignment="1">
      <alignment horizontal="center" vertical="center" wrapText="1"/>
    </xf>
    <xf numFmtId="170" fontId="99" fillId="0" borderId="0" xfId="0" applyNumberFormat="1" applyFont="1" applyBorder="1" applyAlignment="1">
      <alignment horizontal="center" vertical="center" wrapText="1"/>
    </xf>
    <xf numFmtId="170" fontId="90" fillId="53" borderId="0" xfId="0" applyNumberFormat="1" applyFont="1" applyFill="1" applyBorder="1" applyAlignment="1">
      <alignment horizontal="center" vertical="center" wrapText="1"/>
    </xf>
    <xf numFmtId="0" fontId="4" fillId="0" borderId="0" xfId="126" applyFont="1" applyFill="1" applyBorder="1" applyProtection="1">
      <alignment/>
      <protection locked="0"/>
    </xf>
    <xf numFmtId="0" fontId="98" fillId="0" borderId="42" xfId="126" applyFont="1" applyFill="1" applyBorder="1" applyAlignment="1" applyProtection="1">
      <alignment horizontal="left"/>
      <protection locked="0"/>
    </xf>
    <xf numFmtId="4" fontId="37" fillId="0" borderId="0" xfId="234" applyNumberFormat="1" applyFont="1" applyFill="1" applyBorder="1" applyAlignment="1" applyProtection="1">
      <alignment horizontal="center"/>
      <protection locked="0"/>
    </xf>
    <xf numFmtId="0" fontId="31" fillId="0" borderId="0" xfId="126" applyFont="1" applyFill="1" applyBorder="1" applyAlignment="1">
      <alignment vertical="center"/>
      <protection/>
    </xf>
    <xf numFmtId="0" fontId="40" fillId="0" borderId="0" xfId="126" applyFont="1" applyFill="1" applyBorder="1" applyAlignment="1" applyProtection="1">
      <alignment/>
      <protection locked="0"/>
    </xf>
    <xf numFmtId="0" fontId="4" fillId="0" borderId="0" xfId="126" applyFont="1" applyFill="1" applyBorder="1" applyAlignment="1" applyProtection="1">
      <alignment horizontal="center"/>
      <protection locked="0"/>
    </xf>
    <xf numFmtId="0" fontId="37" fillId="0" borderId="23" xfId="126" applyFont="1" applyFill="1" applyBorder="1" applyAlignment="1" applyProtection="1">
      <alignment horizontal="center" vertical="center"/>
      <protection locked="0"/>
    </xf>
    <xf numFmtId="43" fontId="37" fillId="0" borderId="0" xfId="238" applyFont="1" applyBorder="1" applyAlignment="1">
      <alignment/>
    </xf>
    <xf numFmtId="171" fontId="37" fillId="0" borderId="0" xfId="234" applyFont="1" applyFill="1" applyBorder="1" applyAlignment="1" applyProtection="1">
      <alignment horizontal="right" vertical="center"/>
      <protection locked="0"/>
    </xf>
    <xf numFmtId="0" fontId="96" fillId="0" borderId="23" xfId="126" applyFont="1" applyFill="1" applyBorder="1" applyAlignment="1" applyProtection="1">
      <alignment horizontal="left"/>
      <protection/>
    </xf>
    <xf numFmtId="0" fontId="93" fillId="0" borderId="23" xfId="126" applyFont="1" applyBorder="1" applyAlignment="1" applyProtection="1">
      <alignment horizontal="left"/>
      <protection/>
    </xf>
    <xf numFmtId="0" fontId="37" fillId="0" borderId="20" xfId="126" applyFont="1" applyFill="1" applyBorder="1" applyAlignment="1" applyProtection="1">
      <alignment horizontal="center" vertical="center"/>
      <protection locked="0"/>
    </xf>
    <xf numFmtId="0" fontId="37" fillId="0" borderId="21" xfId="126" applyFont="1" applyFill="1" applyBorder="1" applyProtection="1">
      <alignment/>
      <protection locked="0"/>
    </xf>
    <xf numFmtId="171" fontId="37" fillId="0" borderId="21" xfId="234" applyFont="1" applyFill="1" applyBorder="1" applyAlignment="1" applyProtection="1">
      <alignment horizontal="right" vertical="center"/>
      <protection locked="0"/>
    </xf>
    <xf numFmtId="4" fontId="37" fillId="0" borderId="21" xfId="234" applyNumberFormat="1" applyFont="1" applyFill="1" applyBorder="1" applyAlignment="1" applyProtection="1">
      <alignment horizontal="center"/>
      <protection locked="0"/>
    </xf>
    <xf numFmtId="43" fontId="37" fillId="0" borderId="21" xfId="238" applyFont="1" applyBorder="1" applyAlignment="1">
      <alignment/>
    </xf>
    <xf numFmtId="43" fontId="37" fillId="0" borderId="22" xfId="238" applyFont="1" applyBorder="1" applyAlignment="1">
      <alignment/>
    </xf>
    <xf numFmtId="43" fontId="37" fillId="0" borderId="24" xfId="238" applyFont="1" applyBorder="1" applyAlignment="1">
      <alignment/>
    </xf>
    <xf numFmtId="0" fontId="4" fillId="0" borderId="24" xfId="126" applyFont="1" applyFill="1" applyBorder="1" applyAlignment="1" applyProtection="1">
      <alignment horizontal="center"/>
      <protection locked="0"/>
    </xf>
    <xf numFmtId="0" fontId="40" fillId="0" borderId="23" xfId="126" applyFont="1" applyFill="1" applyBorder="1" applyAlignment="1" applyProtection="1">
      <alignment/>
      <protection locked="0"/>
    </xf>
    <xf numFmtId="0" fontId="40" fillId="0" borderId="25" xfId="126" applyFont="1" applyFill="1" applyBorder="1" applyAlignment="1" applyProtection="1">
      <alignment/>
      <protection locked="0"/>
    </xf>
    <xf numFmtId="0" fontId="40" fillId="0" borderId="26" xfId="126" applyFont="1" applyFill="1" applyBorder="1" applyAlignment="1" applyProtection="1">
      <alignment/>
      <protection locked="0"/>
    </xf>
    <xf numFmtId="0" fontId="4" fillId="0" borderId="26" xfId="126" applyFont="1" applyFill="1" applyBorder="1" applyAlignment="1" applyProtection="1">
      <alignment horizontal="center"/>
      <protection locked="0"/>
    </xf>
    <xf numFmtId="0" fontId="4" fillId="0" borderId="27" xfId="126" applyFont="1" applyFill="1" applyBorder="1" applyAlignment="1" applyProtection="1">
      <alignment horizontal="center"/>
      <protection locked="0"/>
    </xf>
    <xf numFmtId="191" fontId="31" fillId="0" borderId="0" xfId="238" applyNumberFormat="1" applyFont="1" applyFill="1" applyBorder="1" applyAlignment="1" applyProtection="1">
      <alignment horizontal="right" vertical="center"/>
      <protection/>
    </xf>
    <xf numFmtId="191" fontId="31" fillId="0" borderId="0" xfId="234" applyNumberFormat="1" applyFont="1" applyFill="1" applyBorder="1" applyAlignment="1" applyProtection="1">
      <alignment horizontal="center" vertical="center"/>
      <protection/>
    </xf>
    <xf numFmtId="43" fontId="37" fillId="0" borderId="0" xfId="238" applyFont="1" applyFill="1" applyBorder="1" applyAlignment="1">
      <alignment/>
    </xf>
    <xf numFmtId="43" fontId="37" fillId="0" borderId="24" xfId="238" applyFont="1" applyFill="1" applyBorder="1" applyAlignment="1">
      <alignment/>
    </xf>
    <xf numFmtId="170" fontId="90" fillId="0" borderId="0" xfId="0" applyNumberFormat="1" applyFont="1" applyAlignment="1">
      <alignment/>
    </xf>
    <xf numFmtId="0" fontId="90" fillId="0" borderId="0" xfId="0" applyFont="1" applyBorder="1" applyAlignment="1">
      <alignment/>
    </xf>
    <xf numFmtId="0" fontId="99" fillId="0" borderId="0" xfId="0" applyFont="1" applyBorder="1" applyAlignment="1">
      <alignment horizontal="center" vertical="center" wrapText="1"/>
    </xf>
    <xf numFmtId="39" fontId="90" fillId="0" borderId="0" xfId="0" applyNumberFormat="1" applyFont="1" applyBorder="1" applyAlignment="1">
      <alignment horizontal="center" vertical="center" wrapText="1"/>
    </xf>
    <xf numFmtId="170" fontId="9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7" fontId="90" fillId="0" borderId="0" xfId="0" applyNumberFormat="1" applyFont="1" applyBorder="1" applyAlignment="1">
      <alignment horizontal="center" vertical="center" wrapText="1"/>
    </xf>
    <xf numFmtId="170" fontId="90" fillId="0" borderId="0" xfId="0" applyNumberFormat="1" applyFont="1" applyBorder="1" applyAlignment="1">
      <alignment/>
    </xf>
    <xf numFmtId="0" fontId="37" fillId="0" borderId="20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center" wrapText="1"/>
    </xf>
    <xf numFmtId="0" fontId="100" fillId="49" borderId="49" xfId="0" applyFont="1" applyFill="1" applyBorder="1" applyAlignment="1">
      <alignment horizontal="center" vertical="center" wrapText="1"/>
    </xf>
    <xf numFmtId="0" fontId="100" fillId="49" borderId="50" xfId="0" applyFont="1" applyFill="1" applyBorder="1" applyAlignment="1">
      <alignment horizontal="center" vertical="center" wrapText="1"/>
    </xf>
    <xf numFmtId="170" fontId="100" fillId="49" borderId="50" xfId="0" applyNumberFormat="1" applyFont="1" applyFill="1" applyBorder="1" applyAlignment="1">
      <alignment horizontal="center" vertical="center" wrapText="1"/>
    </xf>
    <xf numFmtId="49" fontId="100" fillId="49" borderId="51" xfId="0" applyNumberFormat="1" applyFont="1" applyFill="1" applyBorder="1" applyAlignment="1">
      <alignment horizontal="center" vertical="center" wrapText="1"/>
    </xf>
    <xf numFmtId="0" fontId="100" fillId="49" borderId="51" xfId="0" applyFont="1" applyFill="1" applyBorder="1" applyAlignment="1">
      <alignment horizontal="center" vertical="center" wrapText="1"/>
    </xf>
    <xf numFmtId="0" fontId="100" fillId="49" borderId="52" xfId="0" applyFont="1" applyFill="1" applyBorder="1" applyAlignment="1">
      <alignment vertical="center" wrapText="1"/>
    </xf>
    <xf numFmtId="0" fontId="101" fillId="49" borderId="52" xfId="0" applyFont="1" applyFill="1" applyBorder="1" applyAlignment="1">
      <alignment horizontal="center" vertical="center" wrapText="1"/>
    </xf>
    <xf numFmtId="170" fontId="101" fillId="49" borderId="52" xfId="0" applyNumberFormat="1" applyFont="1" applyFill="1" applyBorder="1" applyAlignment="1">
      <alignment horizontal="center" vertical="center" wrapText="1"/>
    </xf>
    <xf numFmtId="170" fontId="97" fillId="49" borderId="52" xfId="0" applyNumberFormat="1" applyFont="1" applyFill="1" applyBorder="1" applyAlignment="1">
      <alignment horizontal="center" vertical="center" wrapText="1"/>
    </xf>
    <xf numFmtId="0" fontId="102" fillId="53" borderId="51" xfId="0" applyFont="1" applyFill="1" applyBorder="1" applyAlignment="1">
      <alignment horizontal="center" vertical="center" wrapText="1"/>
    </xf>
    <xf numFmtId="0" fontId="102" fillId="53" borderId="52" xfId="0" applyFont="1" applyFill="1" applyBorder="1" applyAlignment="1">
      <alignment vertical="center" wrapText="1"/>
    </xf>
    <xf numFmtId="0" fontId="94" fillId="53" borderId="52" xfId="0" applyFont="1" applyFill="1" applyBorder="1" applyAlignment="1">
      <alignment horizontal="center" vertical="center" wrapText="1"/>
    </xf>
    <xf numFmtId="39" fontId="94" fillId="53" borderId="52" xfId="0" applyNumberFormat="1" applyFont="1" applyFill="1" applyBorder="1" applyAlignment="1">
      <alignment horizontal="center" vertical="center" wrapText="1"/>
    </xf>
    <xf numFmtId="39" fontId="101" fillId="49" borderId="52" xfId="0" applyNumberFormat="1" applyFont="1" applyFill="1" applyBorder="1" applyAlignment="1">
      <alignment horizontal="center" vertical="center" wrapText="1"/>
    </xf>
    <xf numFmtId="0" fontId="102" fillId="0" borderId="51" xfId="0" applyFont="1" applyFill="1" applyBorder="1" applyAlignment="1">
      <alignment horizontal="center" vertical="center" wrapText="1"/>
    </xf>
    <xf numFmtId="0" fontId="94" fillId="0" borderId="52" xfId="0" applyFont="1" applyFill="1" applyBorder="1" applyAlignment="1">
      <alignment horizontal="center" vertical="center" wrapText="1"/>
    </xf>
    <xf numFmtId="39" fontId="4" fillId="0" borderId="52" xfId="0" applyNumberFormat="1" applyFont="1" applyFill="1" applyBorder="1" applyAlignment="1">
      <alignment horizontal="center" vertical="center" wrapText="1"/>
    </xf>
    <xf numFmtId="0" fontId="103" fillId="49" borderId="52" xfId="0" applyFont="1" applyFill="1" applyBorder="1" applyAlignment="1">
      <alignment horizontal="center" vertical="center" wrapText="1"/>
    </xf>
    <xf numFmtId="0" fontId="102" fillId="0" borderId="51" xfId="0" applyFont="1" applyBorder="1" applyAlignment="1">
      <alignment horizontal="center" vertical="center" wrapText="1"/>
    </xf>
    <xf numFmtId="0" fontId="103" fillId="0" borderId="52" xfId="0" applyFont="1" applyBorder="1" applyAlignment="1">
      <alignment horizontal="center" vertical="center" wrapText="1"/>
    </xf>
    <xf numFmtId="39" fontId="101" fillId="0" borderId="52" xfId="0" applyNumberFormat="1" applyFont="1" applyBorder="1" applyAlignment="1">
      <alignment horizontal="center" vertical="center" wrapText="1"/>
    </xf>
    <xf numFmtId="170" fontId="101" fillId="0" borderId="52" xfId="0" applyNumberFormat="1" applyFont="1" applyBorder="1" applyAlignment="1">
      <alignment horizontal="center" vertical="center" wrapText="1"/>
    </xf>
    <xf numFmtId="0" fontId="102" fillId="0" borderId="52" xfId="0" applyFont="1" applyBorder="1" applyAlignment="1">
      <alignment vertical="center" wrapText="1"/>
    </xf>
    <xf numFmtId="0" fontId="94" fillId="0" borderId="52" xfId="0" applyFont="1" applyBorder="1" applyAlignment="1">
      <alignment horizontal="center" vertical="center" wrapText="1"/>
    </xf>
    <xf numFmtId="39" fontId="94" fillId="0" borderId="52" xfId="0" applyNumberFormat="1" applyFont="1" applyBorder="1" applyAlignment="1">
      <alignment horizontal="center" vertical="center" wrapText="1"/>
    </xf>
    <xf numFmtId="0" fontId="94" fillId="0" borderId="51" xfId="0" applyFont="1" applyBorder="1" applyAlignment="1">
      <alignment horizontal="center" vertical="center" wrapText="1"/>
    </xf>
    <xf numFmtId="39" fontId="4" fillId="0" borderId="52" xfId="0" applyNumberFormat="1" applyFont="1" applyBorder="1" applyAlignment="1">
      <alignment horizontal="center" vertical="center" wrapText="1"/>
    </xf>
    <xf numFmtId="0" fontId="104" fillId="49" borderId="52" xfId="0" applyFont="1" applyFill="1" applyBorder="1" applyAlignment="1">
      <alignment horizontal="center" vertical="center" wrapText="1"/>
    </xf>
    <xf numFmtId="39" fontId="104" fillId="49" borderId="52" xfId="0" applyNumberFormat="1" applyFont="1" applyFill="1" applyBorder="1" applyAlignment="1">
      <alignment horizontal="center" vertical="center" wrapText="1"/>
    </xf>
    <xf numFmtId="170" fontId="104" fillId="49" borderId="52" xfId="0" applyNumberFormat="1" applyFont="1" applyFill="1" applyBorder="1" applyAlignment="1">
      <alignment horizontal="center" vertical="center" wrapText="1"/>
    </xf>
    <xf numFmtId="10" fontId="100" fillId="49" borderId="52" xfId="185" applyNumberFormat="1" applyFont="1" applyFill="1" applyBorder="1" applyAlignment="1">
      <alignment horizontal="center" vertical="center" wrapText="1"/>
    </xf>
    <xf numFmtId="170" fontId="100" fillId="49" borderId="52" xfId="0" applyNumberFormat="1" applyFont="1" applyFill="1" applyBorder="1" applyAlignment="1">
      <alignment horizontal="center" vertical="center" wrapText="1"/>
    </xf>
    <xf numFmtId="0" fontId="100" fillId="49" borderId="53" xfId="0" applyFont="1" applyFill="1" applyBorder="1" applyAlignment="1">
      <alignment horizontal="center" vertical="center" wrapText="1"/>
    </xf>
    <xf numFmtId="0" fontId="100" fillId="49" borderId="54" xfId="0" applyFont="1" applyFill="1" applyBorder="1" applyAlignment="1">
      <alignment vertical="center" wrapText="1"/>
    </xf>
    <xf numFmtId="0" fontId="100" fillId="49" borderId="54" xfId="0" applyFont="1" applyFill="1" applyBorder="1" applyAlignment="1">
      <alignment horizontal="center" vertical="center" wrapText="1"/>
    </xf>
    <xf numFmtId="170" fontId="100" fillId="49" borderId="54" xfId="0" applyNumberFormat="1" applyFont="1" applyFill="1" applyBorder="1" applyAlignment="1">
      <alignment horizontal="center" vertical="center" wrapText="1"/>
    </xf>
    <xf numFmtId="0" fontId="33" fillId="0" borderId="48" xfId="178" applyFont="1" applyFill="1" applyBorder="1" applyAlignment="1" applyProtection="1">
      <alignment horizontal="left" vertical="center"/>
      <protection/>
    </xf>
    <xf numFmtId="171" fontId="33" fillId="0" borderId="48" xfId="234" applyFont="1" applyFill="1" applyBorder="1" applyAlignment="1" applyProtection="1">
      <alignment horizontal="left" vertical="center"/>
      <protection/>
    </xf>
    <xf numFmtId="0" fontId="33" fillId="0" borderId="55" xfId="178" applyFont="1" applyFill="1" applyBorder="1" applyAlignment="1" applyProtection="1">
      <alignment vertical="center"/>
      <protection/>
    </xf>
    <xf numFmtId="49" fontId="33" fillId="0" borderId="55" xfId="234" applyNumberFormat="1" applyFont="1" applyFill="1" applyBorder="1" applyAlignment="1" applyProtection="1">
      <alignment vertical="center"/>
      <protection/>
    </xf>
    <xf numFmtId="0" fontId="33" fillId="0" borderId="55" xfId="178" applyFont="1" applyFill="1" applyBorder="1" applyAlignment="1" applyProtection="1">
      <alignment horizontal="left" vertical="center"/>
      <protection/>
    </xf>
    <xf numFmtId="49" fontId="33" fillId="0" borderId="55" xfId="234" applyNumberFormat="1" applyFont="1" applyFill="1" applyBorder="1" applyAlignment="1" applyProtection="1">
      <alignment horizontal="right" vertical="center"/>
      <protection/>
    </xf>
    <xf numFmtId="49" fontId="33" fillId="0" borderId="48" xfId="234" applyNumberFormat="1" applyFont="1" applyFill="1" applyBorder="1" applyAlignment="1" applyProtection="1">
      <alignment horizontal="right" vertical="center"/>
      <protection/>
    </xf>
    <xf numFmtId="0" fontId="33" fillId="0" borderId="56" xfId="178" applyFont="1" applyFill="1" applyBorder="1" applyAlignment="1" applyProtection="1">
      <alignment horizontal="left" vertical="center"/>
      <protection/>
    </xf>
    <xf numFmtId="0" fontId="33" fillId="0" borderId="0" xfId="178" applyFont="1" applyFill="1" applyBorder="1" applyAlignment="1" applyProtection="1">
      <alignment horizontal="left" vertical="center"/>
      <protection/>
    </xf>
    <xf numFmtId="49" fontId="33" fillId="0" borderId="0" xfId="234" applyNumberFormat="1" applyFont="1" applyFill="1" applyBorder="1" applyAlignment="1" applyProtection="1">
      <alignment horizontal="right" vertical="center"/>
      <protection/>
    </xf>
    <xf numFmtId="170" fontId="100" fillId="49" borderId="57" xfId="0" applyNumberFormat="1" applyFont="1" applyFill="1" applyBorder="1" applyAlignment="1">
      <alignment horizontal="center" vertical="center" wrapText="1"/>
    </xf>
    <xf numFmtId="10" fontId="100" fillId="49" borderId="58" xfId="185" applyNumberFormat="1" applyFont="1" applyFill="1" applyBorder="1" applyAlignment="1">
      <alignment horizontal="center" vertical="center" wrapText="1"/>
    </xf>
    <xf numFmtId="10" fontId="97" fillId="49" borderId="52" xfId="185" applyNumberFormat="1" applyFont="1" applyFill="1" applyBorder="1" applyAlignment="1">
      <alignment horizontal="center" vertical="center" wrapText="1"/>
    </xf>
    <xf numFmtId="178" fontId="97" fillId="49" borderId="52" xfId="185" applyNumberFormat="1" applyFont="1" applyFill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justify" vertical="center" wrapText="1"/>
    </xf>
    <xf numFmtId="0" fontId="94" fillId="0" borderId="0" xfId="0" applyFont="1" applyBorder="1" applyAlignment="1">
      <alignment horizontal="center" vertical="center" wrapText="1"/>
    </xf>
    <xf numFmtId="39" fontId="94" fillId="53" borderId="0" xfId="0" applyNumberFormat="1" applyFont="1" applyFill="1" applyBorder="1" applyAlignment="1">
      <alignment horizontal="center" vertical="center" wrapText="1"/>
    </xf>
    <xf numFmtId="170" fontId="102" fillId="0" borderId="0" xfId="0" applyNumberFormat="1" applyFont="1" applyBorder="1" applyAlignment="1">
      <alignment horizontal="center" vertical="center" wrapText="1"/>
    </xf>
    <xf numFmtId="170" fontId="94" fillId="53" borderId="0" xfId="0" applyNumberFormat="1" applyFont="1" applyFill="1" applyBorder="1" applyAlignment="1">
      <alignment horizontal="center" vertical="center" wrapText="1"/>
    </xf>
    <xf numFmtId="0" fontId="102" fillId="53" borderId="0" xfId="0" applyFont="1" applyFill="1" applyBorder="1" applyAlignment="1">
      <alignment vertical="center" wrapText="1"/>
    </xf>
    <xf numFmtId="0" fontId="94" fillId="53" borderId="0" xfId="0" applyFont="1" applyFill="1" applyBorder="1" applyAlignment="1">
      <alignment horizontal="center" vertical="center" wrapText="1"/>
    </xf>
    <xf numFmtId="0" fontId="100" fillId="49" borderId="59" xfId="0" applyFont="1" applyFill="1" applyBorder="1" applyAlignment="1">
      <alignment horizontal="center" vertical="center" wrapText="1"/>
    </xf>
    <xf numFmtId="0" fontId="100" fillId="49" borderId="60" xfId="0" applyFont="1" applyFill="1" applyBorder="1" applyAlignment="1">
      <alignment vertical="center" wrapText="1"/>
    </xf>
    <xf numFmtId="0" fontId="100" fillId="49" borderId="60" xfId="0" applyFont="1" applyFill="1" applyBorder="1" applyAlignment="1">
      <alignment horizontal="center" vertical="center" wrapText="1"/>
    </xf>
    <xf numFmtId="170" fontId="100" fillId="49" borderId="60" xfId="0" applyNumberFormat="1" applyFont="1" applyFill="1" applyBorder="1" applyAlignment="1">
      <alignment horizontal="center" vertical="center" wrapText="1"/>
    </xf>
    <xf numFmtId="9" fontId="100" fillId="49" borderId="60" xfId="185" applyFont="1" applyFill="1" applyBorder="1" applyAlignment="1">
      <alignment horizontal="center" vertical="center" wrapText="1"/>
    </xf>
    <xf numFmtId="170" fontId="100" fillId="49" borderId="61" xfId="0" applyNumberFormat="1" applyFont="1" applyFill="1" applyBorder="1" applyAlignment="1">
      <alignment horizontal="center" vertical="center" wrapText="1"/>
    </xf>
    <xf numFmtId="10" fontId="100" fillId="49" borderId="32" xfId="185" applyNumberFormat="1" applyFont="1" applyFill="1" applyBorder="1" applyAlignment="1">
      <alignment horizontal="center" vertical="center" wrapText="1"/>
    </xf>
    <xf numFmtId="0" fontId="100" fillId="49" borderId="33" xfId="0" applyFont="1" applyFill="1" applyBorder="1" applyAlignment="1">
      <alignment vertical="center" wrapText="1"/>
    </xf>
    <xf numFmtId="0" fontId="100" fillId="49" borderId="33" xfId="0" applyFont="1" applyFill="1" applyBorder="1" applyAlignment="1">
      <alignment horizontal="center" vertical="center" wrapText="1"/>
    </xf>
    <xf numFmtId="170" fontId="100" fillId="49" borderId="33" xfId="0" applyNumberFormat="1" applyFont="1" applyFill="1" applyBorder="1" applyAlignment="1">
      <alignment horizontal="center" vertical="center" wrapText="1"/>
    </xf>
    <xf numFmtId="170" fontId="100" fillId="49" borderId="36" xfId="0" applyNumberFormat="1" applyFont="1" applyFill="1" applyBorder="1" applyAlignment="1">
      <alignment horizontal="center" vertical="center" wrapText="1"/>
    </xf>
    <xf numFmtId="0" fontId="100" fillId="49" borderId="62" xfId="0" applyFont="1" applyFill="1" applyBorder="1" applyAlignment="1">
      <alignment horizontal="center" vertical="center" wrapText="1"/>
    </xf>
    <xf numFmtId="0" fontId="100" fillId="49" borderId="63" xfId="0" applyFont="1" applyFill="1" applyBorder="1" applyAlignment="1">
      <alignment vertical="center" wrapText="1"/>
    </xf>
    <xf numFmtId="0" fontId="100" fillId="49" borderId="63" xfId="0" applyFont="1" applyFill="1" applyBorder="1" applyAlignment="1">
      <alignment horizontal="center" vertical="center" wrapText="1"/>
    </xf>
    <xf numFmtId="170" fontId="100" fillId="49" borderId="63" xfId="0" applyNumberFormat="1" applyFont="1" applyFill="1" applyBorder="1" applyAlignment="1">
      <alignment horizontal="center" vertical="center" wrapText="1"/>
    </xf>
    <xf numFmtId="170" fontId="100" fillId="49" borderId="64" xfId="0" applyNumberFormat="1" applyFont="1" applyFill="1" applyBorder="1" applyAlignment="1">
      <alignment horizontal="center" vertical="center" wrapText="1"/>
    </xf>
    <xf numFmtId="0" fontId="33" fillId="0" borderId="29" xfId="178" applyFont="1" applyFill="1" applyBorder="1" applyAlignment="1" applyProtection="1">
      <alignment horizontal="left" vertical="center"/>
      <protection/>
    </xf>
    <xf numFmtId="0" fontId="33" fillId="0" borderId="42" xfId="178" applyFont="1" applyFill="1" applyBorder="1" applyAlignment="1" applyProtection="1">
      <alignment vertical="center"/>
      <protection/>
    </xf>
    <xf numFmtId="0" fontId="33" fillId="0" borderId="48" xfId="178" applyFont="1" applyFill="1" applyBorder="1" applyAlignment="1" applyProtection="1">
      <alignment vertical="center"/>
      <protection/>
    </xf>
    <xf numFmtId="0" fontId="33" fillId="0" borderId="29" xfId="178" applyFont="1" applyFill="1" applyBorder="1" applyAlignment="1" applyProtection="1">
      <alignment vertical="center"/>
      <protection/>
    </xf>
    <xf numFmtId="0" fontId="33" fillId="0" borderId="23" xfId="178" applyFont="1" applyFill="1" applyBorder="1" applyAlignment="1" applyProtection="1">
      <alignment horizontal="left" vertical="center"/>
      <protection/>
    </xf>
    <xf numFmtId="0" fontId="33" fillId="0" borderId="24" xfId="178" applyFont="1" applyFill="1" applyBorder="1" applyAlignment="1" applyProtection="1">
      <alignment horizontal="left" vertical="center"/>
      <protection/>
    </xf>
    <xf numFmtId="2" fontId="33" fillId="0" borderId="29" xfId="178" applyNumberFormat="1" applyFont="1" applyFill="1" applyBorder="1" applyAlignment="1" applyProtection="1">
      <alignment horizontal="right" vertical="center"/>
      <protection/>
    </xf>
    <xf numFmtId="0" fontId="47" fillId="54" borderId="52" xfId="166" applyFont="1" applyFill="1" applyBorder="1" applyAlignment="1">
      <alignment horizontal="center" vertical="center"/>
      <protection/>
    </xf>
    <xf numFmtId="0" fontId="33" fillId="54" borderId="60" xfId="178" applyFont="1" applyFill="1" applyBorder="1" applyAlignment="1" applyProtection="1">
      <alignment horizontal="left" vertical="center"/>
      <protection/>
    </xf>
    <xf numFmtId="10" fontId="46" fillId="54" borderId="65" xfId="121" applyNumberFormat="1" applyFont="1" applyFill="1" applyBorder="1" applyAlignment="1" applyProtection="1">
      <alignment horizontal="center" vertical="center"/>
      <protection/>
    </xf>
    <xf numFmtId="10" fontId="48" fillId="54" borderId="66" xfId="188" applyNumberFormat="1" applyFont="1" applyFill="1" applyBorder="1" applyAlignment="1">
      <alignment horizontal="right"/>
    </xf>
    <xf numFmtId="10" fontId="48" fillId="54" borderId="67" xfId="188" applyNumberFormat="1" applyFont="1" applyFill="1" applyBorder="1" applyAlignment="1">
      <alignment horizontal="right"/>
    </xf>
    <xf numFmtId="0" fontId="33" fillId="54" borderId="68" xfId="178" applyFont="1" applyFill="1" applyBorder="1" applyAlignment="1" applyProtection="1">
      <alignment horizontal="left" vertical="center"/>
      <protection/>
    </xf>
    <xf numFmtId="44" fontId="33" fillId="54" borderId="69" xfId="121" applyFont="1" applyFill="1" applyBorder="1" applyAlignment="1" applyProtection="1">
      <alignment vertical="center"/>
      <protection/>
    </xf>
    <xf numFmtId="171" fontId="37" fillId="51" borderId="70" xfId="235" applyFont="1" applyFill="1" applyBorder="1" applyAlignment="1">
      <alignment horizontal="right"/>
    </xf>
    <xf numFmtId="0" fontId="33" fillId="0" borderId="31" xfId="178" applyFont="1" applyFill="1" applyBorder="1" applyAlignment="1" applyProtection="1">
      <alignment horizontal="left" vertical="center"/>
      <protection/>
    </xf>
    <xf numFmtId="10" fontId="48" fillId="0" borderId="71" xfId="188" applyNumberFormat="1" applyFont="1" applyFill="1" applyBorder="1" applyAlignment="1">
      <alignment horizontal="right"/>
    </xf>
    <xf numFmtId="10" fontId="48" fillId="0" borderId="72" xfId="188" applyNumberFormat="1" applyFont="1" applyFill="1" applyBorder="1" applyAlignment="1">
      <alignment horizontal="right"/>
    </xf>
    <xf numFmtId="0" fontId="33" fillId="0" borderId="68" xfId="178" applyFont="1" applyFill="1" applyBorder="1" applyAlignment="1" applyProtection="1">
      <alignment horizontal="left" vertical="center"/>
      <protection/>
    </xf>
    <xf numFmtId="171" fontId="37" fillId="54" borderId="70" xfId="235" applyFont="1" applyFill="1" applyBorder="1" applyAlignment="1">
      <alignment horizontal="right"/>
    </xf>
    <xf numFmtId="171" fontId="37" fillId="54" borderId="73" xfId="235" applyFont="1" applyFill="1" applyBorder="1" applyAlignment="1">
      <alignment horizontal="right"/>
    </xf>
    <xf numFmtId="10" fontId="105" fillId="0" borderId="71" xfId="191" applyNumberFormat="1" applyFont="1" applyFill="1" applyBorder="1" applyAlignment="1">
      <alignment horizontal="right"/>
    </xf>
    <xf numFmtId="10" fontId="105" fillId="0" borderId="72" xfId="191" applyNumberFormat="1" applyFont="1" applyFill="1" applyBorder="1" applyAlignment="1">
      <alignment horizontal="right"/>
    </xf>
    <xf numFmtId="9" fontId="105" fillId="0" borderId="71" xfId="191" applyFont="1" applyFill="1" applyBorder="1" applyAlignment="1">
      <alignment horizontal="right"/>
    </xf>
    <xf numFmtId="0" fontId="33" fillId="0" borderId="63" xfId="178" applyFont="1" applyFill="1" applyBorder="1" applyAlignment="1" applyProtection="1">
      <alignment horizontal="left" vertical="center"/>
      <protection/>
    </xf>
    <xf numFmtId="171" fontId="37" fillId="54" borderId="74" xfId="235" applyFont="1" applyFill="1" applyBorder="1" applyAlignment="1">
      <alignment horizontal="right"/>
    </xf>
    <xf numFmtId="171" fontId="37" fillId="54" borderId="75" xfId="235" applyFont="1" applyFill="1" applyBorder="1" applyAlignment="1">
      <alignment horizontal="right"/>
    </xf>
    <xf numFmtId="9" fontId="105" fillId="0" borderId="72" xfId="191" applyFont="1" applyFill="1" applyBorder="1" applyAlignment="1">
      <alignment horizontal="right"/>
    </xf>
    <xf numFmtId="0" fontId="33" fillId="54" borderId="21" xfId="178" applyFont="1" applyFill="1" applyBorder="1" applyAlignment="1" applyProtection="1">
      <alignment horizontal="left" vertical="center"/>
      <protection/>
    </xf>
    <xf numFmtId="9" fontId="37" fillId="54" borderId="50" xfId="189" applyFont="1" applyFill="1" applyBorder="1" applyAlignment="1">
      <alignment horizontal="center" vertical="center" wrapText="1"/>
    </xf>
    <xf numFmtId="4" fontId="37" fillId="54" borderId="50" xfId="166" applyNumberFormat="1" applyFont="1" applyFill="1" applyBorder="1" applyAlignment="1">
      <alignment vertical="center" wrapText="1"/>
      <protection/>
    </xf>
    <xf numFmtId="4" fontId="37" fillId="54" borderId="66" xfId="166" applyNumberFormat="1" applyFont="1" applyFill="1" applyBorder="1" applyAlignment="1">
      <alignment vertical="center" wrapText="1"/>
      <protection/>
    </xf>
    <xf numFmtId="4" fontId="37" fillId="54" borderId="67" xfId="166" applyNumberFormat="1" applyFont="1" applyFill="1" applyBorder="1" applyAlignment="1">
      <alignment vertical="center" wrapText="1"/>
      <protection/>
    </xf>
    <xf numFmtId="0" fontId="33" fillId="54" borderId="0" xfId="178" applyFont="1" applyFill="1" applyBorder="1" applyAlignment="1" applyProtection="1">
      <alignment horizontal="left" vertical="center"/>
      <protection/>
    </xf>
    <xf numFmtId="0" fontId="37" fillId="54" borderId="0" xfId="166" applyFont="1" applyFill="1" applyBorder="1" applyAlignment="1">
      <alignment vertical="center" wrapText="1"/>
      <protection/>
    </xf>
    <xf numFmtId="0" fontId="33" fillId="54" borderId="76" xfId="178" applyFont="1" applyFill="1" applyBorder="1" applyAlignment="1" applyProtection="1">
      <alignment horizontal="left" vertical="center"/>
      <protection/>
    </xf>
    <xf numFmtId="4" fontId="37" fillId="54" borderId="35" xfId="166" applyNumberFormat="1" applyFont="1" applyFill="1" applyBorder="1" applyAlignment="1">
      <alignment vertical="center" wrapText="1"/>
      <protection/>
    </xf>
    <xf numFmtId="10" fontId="105" fillId="54" borderId="35" xfId="189" applyNumberFormat="1" applyFont="1" applyFill="1" applyBorder="1" applyAlignment="1">
      <alignment vertical="center" wrapText="1"/>
    </xf>
    <xf numFmtId="10" fontId="105" fillId="54" borderId="77" xfId="189" applyNumberFormat="1" applyFont="1" applyFill="1" applyBorder="1" applyAlignment="1">
      <alignment vertical="center" wrapText="1"/>
    </xf>
    <xf numFmtId="0" fontId="33" fillId="54" borderId="26" xfId="178" applyFont="1" applyFill="1" applyBorder="1" applyAlignment="1" applyProtection="1">
      <alignment horizontal="left" vertical="center"/>
      <protection/>
    </xf>
    <xf numFmtId="0" fontId="37" fillId="54" borderId="26" xfId="166" applyFont="1" applyFill="1" applyBorder="1" applyAlignment="1">
      <alignment vertical="center" wrapText="1"/>
      <protection/>
    </xf>
    <xf numFmtId="0" fontId="33" fillId="54" borderId="78" xfId="178" applyFont="1" applyFill="1" applyBorder="1" applyAlignment="1" applyProtection="1">
      <alignment horizontal="left" vertical="center"/>
      <protection/>
    </xf>
    <xf numFmtId="10" fontId="105" fillId="54" borderId="74" xfId="189" applyNumberFormat="1" applyFont="1" applyFill="1" applyBorder="1" applyAlignment="1">
      <alignment vertical="center" wrapText="1"/>
    </xf>
    <xf numFmtId="0" fontId="37" fillId="0" borderId="23" xfId="126" applyFont="1" applyFill="1" applyBorder="1" applyAlignment="1">
      <alignment horizontal="center" vertical="center"/>
      <protection/>
    </xf>
    <xf numFmtId="170" fontId="2" fillId="0" borderId="0" xfId="0" applyNumberFormat="1" applyFont="1" applyBorder="1" applyAlignment="1">
      <alignment vertical="center" wrapText="1"/>
    </xf>
    <xf numFmtId="43" fontId="90" fillId="0" borderId="0" xfId="238" applyFont="1" applyAlignment="1">
      <alignment/>
    </xf>
    <xf numFmtId="0" fontId="102" fillId="0" borderId="52" xfId="0" applyFont="1" applyFill="1" applyBorder="1" applyAlignment="1">
      <alignment horizontal="center" vertical="center" wrapText="1"/>
    </xf>
    <xf numFmtId="39" fontId="102" fillId="0" borderId="52" xfId="0" applyNumberFormat="1" applyFont="1" applyFill="1" applyBorder="1" applyAlignment="1">
      <alignment horizontal="center" vertical="center" wrapText="1"/>
    </xf>
    <xf numFmtId="0" fontId="100" fillId="49" borderId="79" xfId="0" applyFont="1" applyFill="1" applyBorder="1" applyAlignment="1">
      <alignment horizontal="center" vertical="center" wrapText="1"/>
    </xf>
    <xf numFmtId="0" fontId="102" fillId="53" borderId="79" xfId="0" applyFont="1" applyFill="1" applyBorder="1" applyAlignment="1">
      <alignment horizontal="center" vertical="center" wrapText="1"/>
    </xf>
    <xf numFmtId="0" fontId="102" fillId="0" borderId="79" xfId="0" applyFont="1" applyBorder="1" applyAlignment="1">
      <alignment horizontal="center" vertical="center" wrapText="1"/>
    </xf>
    <xf numFmtId="10" fontId="100" fillId="49" borderId="79" xfId="185" applyNumberFormat="1" applyFont="1" applyFill="1" applyBorder="1" applyAlignment="1">
      <alignment horizontal="center" vertical="center" wrapText="1"/>
    </xf>
    <xf numFmtId="0" fontId="100" fillId="49" borderId="8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0" borderId="52" xfId="0" applyFont="1" applyBorder="1" applyAlignment="1">
      <alignment horizontal="center" vertical="center" wrapText="1"/>
    </xf>
    <xf numFmtId="0" fontId="100" fillId="49" borderId="81" xfId="0" applyFont="1" applyFill="1" applyBorder="1" applyAlignment="1">
      <alignment horizontal="center" vertical="center" wrapText="1"/>
    </xf>
    <xf numFmtId="0" fontId="100" fillId="49" borderId="50" xfId="0" applyFont="1" applyFill="1" applyBorder="1" applyAlignment="1">
      <alignment vertical="center" wrapText="1"/>
    </xf>
    <xf numFmtId="170" fontId="100" fillId="49" borderId="82" xfId="0" applyNumberFormat="1" applyFont="1" applyFill="1" applyBorder="1" applyAlignment="1">
      <alignment horizontal="center" vertical="center" wrapText="1"/>
    </xf>
    <xf numFmtId="170" fontId="100" fillId="49" borderId="83" xfId="0" applyNumberFormat="1" applyFont="1" applyFill="1" applyBorder="1" applyAlignment="1">
      <alignment horizontal="center" vertical="center" wrapText="1"/>
    </xf>
    <xf numFmtId="170" fontId="100" fillId="49" borderId="84" xfId="0" applyNumberFormat="1" applyFont="1" applyFill="1" applyBorder="1" applyAlignment="1">
      <alignment horizontal="center" vertical="center" wrapText="1"/>
    </xf>
    <xf numFmtId="170" fontId="97" fillId="49" borderId="83" xfId="0" applyNumberFormat="1" applyFont="1" applyFill="1" applyBorder="1" applyAlignment="1">
      <alignment horizontal="center" vertical="center" wrapText="1"/>
    </xf>
    <xf numFmtId="170" fontId="94" fillId="53" borderId="83" xfId="0" applyNumberFormat="1" applyFont="1" applyFill="1" applyBorder="1" applyAlignment="1">
      <alignment horizontal="center" vertical="center" wrapText="1"/>
    </xf>
    <xf numFmtId="170" fontId="102" fillId="0" borderId="83" xfId="0" applyNumberFormat="1" applyFont="1" applyFill="1" applyBorder="1" applyAlignment="1">
      <alignment horizontal="center" vertical="center" wrapText="1"/>
    </xf>
    <xf numFmtId="170" fontId="94" fillId="0" borderId="83" xfId="0" applyNumberFormat="1" applyFont="1" applyFill="1" applyBorder="1" applyAlignment="1">
      <alignment horizontal="center" vertical="center" wrapText="1"/>
    </xf>
    <xf numFmtId="170" fontId="94" fillId="53" borderId="24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70" fontId="4" fillId="53" borderId="83" xfId="0" applyNumberFormat="1" applyFont="1" applyFill="1" applyBorder="1" applyAlignment="1">
      <alignment horizontal="center" vertical="center" wrapText="1"/>
    </xf>
    <xf numFmtId="0" fontId="31" fillId="0" borderId="52" xfId="0" applyFont="1" applyBorder="1" applyAlignment="1">
      <alignment vertical="center" wrapText="1"/>
    </xf>
    <xf numFmtId="2" fontId="94" fillId="0" borderId="52" xfId="0" applyNumberFormat="1" applyFont="1" applyBorder="1" applyAlignment="1">
      <alignment horizontal="center" vertical="center" wrapText="1"/>
    </xf>
    <xf numFmtId="0" fontId="6" fillId="0" borderId="0" xfId="136" applyFont="1" applyFill="1" applyBorder="1" applyAlignment="1">
      <alignment horizontal="center" vertical="center" wrapText="1"/>
      <protection/>
    </xf>
    <xf numFmtId="0" fontId="93" fillId="0" borderId="85" xfId="126" applyFont="1" applyBorder="1" applyAlignment="1" applyProtection="1">
      <alignment/>
      <protection/>
    </xf>
    <xf numFmtId="0" fontId="37" fillId="0" borderId="20" xfId="126" applyFont="1" applyFill="1" applyBorder="1" applyAlignment="1" applyProtection="1">
      <alignment horizontal="center" vertical="center"/>
      <protection/>
    </xf>
    <xf numFmtId="0" fontId="27" fillId="0" borderId="21" xfId="126" applyFont="1" applyFill="1" applyBorder="1" applyAlignment="1" applyProtection="1">
      <alignment horizontal="center" vertical="center" wrapText="1"/>
      <protection/>
    </xf>
    <xf numFmtId="0" fontId="37" fillId="0" borderId="22" xfId="126" applyFont="1" applyFill="1" applyBorder="1" applyProtection="1">
      <alignment/>
      <protection/>
    </xf>
    <xf numFmtId="0" fontId="27" fillId="0" borderId="23" xfId="126" applyFont="1" applyFill="1" applyBorder="1" applyAlignment="1" applyProtection="1">
      <alignment vertical="center"/>
      <protection/>
    </xf>
    <xf numFmtId="0" fontId="37" fillId="0" borderId="24" xfId="126" applyFont="1" applyFill="1" applyBorder="1" applyProtection="1">
      <alignment/>
      <protection/>
    </xf>
    <xf numFmtId="0" fontId="4" fillId="0" borderId="86" xfId="126" applyFont="1" applyFill="1" applyBorder="1" applyProtection="1">
      <alignment/>
      <protection/>
    </xf>
    <xf numFmtId="0" fontId="4" fillId="0" borderId="29" xfId="126" applyFont="1" applyFill="1" applyBorder="1" applyProtection="1">
      <alignment/>
      <protection/>
    </xf>
    <xf numFmtId="0" fontId="33" fillId="0" borderId="87" xfId="178" applyFont="1" applyFill="1" applyBorder="1" applyAlignment="1" applyProtection="1">
      <alignment vertical="center"/>
      <protection/>
    </xf>
    <xf numFmtId="49" fontId="33" fillId="0" borderId="87" xfId="234" applyNumberFormat="1" applyFont="1" applyFill="1" applyBorder="1" applyAlignment="1" applyProtection="1">
      <alignment vertical="center"/>
      <protection/>
    </xf>
    <xf numFmtId="0" fontId="4" fillId="0" borderId="88" xfId="126" applyFont="1" applyFill="1" applyBorder="1" applyProtection="1">
      <alignment/>
      <protection/>
    </xf>
    <xf numFmtId="0" fontId="4" fillId="0" borderId="24" xfId="126" applyFont="1" applyFill="1" applyBorder="1" applyProtection="1">
      <alignment/>
      <protection locked="0"/>
    </xf>
    <xf numFmtId="0" fontId="106" fillId="0" borderId="23" xfId="0" applyFont="1" applyBorder="1" applyAlignment="1">
      <alignment horizontal="left" vertical="top"/>
    </xf>
    <xf numFmtId="0" fontId="107" fillId="0" borderId="0" xfId="0" applyFont="1" applyBorder="1" applyAlignment="1">
      <alignment horizontal="left" vertical="top"/>
    </xf>
    <xf numFmtId="0" fontId="106" fillId="0" borderId="0" xfId="0" applyFont="1" applyBorder="1" applyAlignment="1">
      <alignment horizontal="center" vertical="top"/>
    </xf>
    <xf numFmtId="0" fontId="106" fillId="0" borderId="0" xfId="0" applyFont="1" applyBorder="1" applyAlignment="1">
      <alignment vertical="top" wrapText="1"/>
    </xf>
    <xf numFmtId="43" fontId="106" fillId="0" borderId="0" xfId="239" applyFont="1" applyBorder="1" applyAlignment="1" quotePrefix="1">
      <alignment horizontal="right" vertical="top"/>
    </xf>
    <xf numFmtId="43" fontId="106" fillId="0" borderId="0" xfId="239" applyFont="1" applyBorder="1" applyAlignment="1">
      <alignment horizontal="right" vertical="top"/>
    </xf>
    <xf numFmtId="43" fontId="106" fillId="0" borderId="24" xfId="239" applyFont="1" applyBorder="1" applyAlignment="1">
      <alignment horizontal="right" vertical="top"/>
    </xf>
    <xf numFmtId="43" fontId="106" fillId="0" borderId="47" xfId="239" applyFont="1" applyBorder="1" applyAlignment="1">
      <alignment horizontal="right" vertical="top"/>
    </xf>
    <xf numFmtId="43" fontId="106" fillId="0" borderId="86" xfId="239" applyFont="1" applyBorder="1" applyAlignment="1">
      <alignment horizontal="right" vertical="top"/>
    </xf>
    <xf numFmtId="43" fontId="107" fillId="0" borderId="55" xfId="239" applyFont="1" applyBorder="1" applyAlignment="1">
      <alignment horizontal="right" vertical="top"/>
    </xf>
    <xf numFmtId="43" fontId="107" fillId="0" borderId="89" xfId="239" applyFont="1" applyBorder="1" applyAlignment="1">
      <alignment horizontal="right" vertical="top"/>
    </xf>
    <xf numFmtId="43" fontId="107" fillId="0" borderId="90" xfId="239" applyFont="1" applyBorder="1" applyAlignment="1">
      <alignment vertical="top" wrapText="1"/>
    </xf>
    <xf numFmtId="0" fontId="106" fillId="0" borderId="42" xfId="0" applyFont="1" applyBorder="1" applyAlignment="1">
      <alignment horizontal="left" vertical="top"/>
    </xf>
    <xf numFmtId="0" fontId="106" fillId="0" borderId="48" xfId="0" applyFont="1" applyBorder="1" applyAlignment="1">
      <alignment vertical="top" wrapText="1"/>
    </xf>
    <xf numFmtId="43" fontId="106" fillId="0" borderId="48" xfId="239" applyFont="1" applyBorder="1" applyAlignment="1">
      <alignment horizontal="right" vertical="top"/>
    </xf>
    <xf numFmtId="43" fontId="107" fillId="0" borderId="48" xfId="239" applyFont="1" applyBorder="1" applyAlignment="1">
      <alignment horizontal="right" vertical="top"/>
    </xf>
    <xf numFmtId="43" fontId="106" fillId="0" borderId="29" xfId="239" applyFont="1" applyBorder="1" applyAlignment="1">
      <alignment horizontal="right" vertical="top"/>
    </xf>
    <xf numFmtId="0" fontId="100" fillId="55" borderId="91" xfId="0" applyFont="1" applyFill="1" applyBorder="1" applyAlignment="1">
      <alignment horizontal="left" vertical="center"/>
    </xf>
    <xf numFmtId="0" fontId="100" fillId="55" borderId="92" xfId="0" applyFont="1" applyFill="1" applyBorder="1" applyAlignment="1">
      <alignment horizontal="left" vertical="center"/>
    </xf>
    <xf numFmtId="0" fontId="100" fillId="55" borderId="92" xfId="0" applyFont="1" applyFill="1" applyBorder="1" applyAlignment="1">
      <alignment horizontal="center" vertical="center"/>
    </xf>
    <xf numFmtId="0" fontId="100" fillId="55" borderId="92" xfId="0" applyFont="1" applyFill="1" applyBorder="1" applyAlignment="1">
      <alignment horizontal="center" vertical="center" wrapText="1"/>
    </xf>
    <xf numFmtId="43" fontId="100" fillId="55" borderId="92" xfId="239" applyFont="1" applyFill="1" applyBorder="1" applyAlignment="1">
      <alignment horizontal="center" vertical="center"/>
    </xf>
    <xf numFmtId="43" fontId="100" fillId="55" borderId="92" xfId="239" applyFont="1" applyFill="1" applyBorder="1" applyAlignment="1">
      <alignment horizontal="right" vertical="center"/>
    </xf>
    <xf numFmtId="43" fontId="100" fillId="55" borderId="93" xfId="239" applyFont="1" applyFill="1" applyBorder="1" applyAlignment="1">
      <alignment horizontal="right" vertical="center"/>
    </xf>
    <xf numFmtId="43" fontId="108" fillId="56" borderId="36" xfId="239" applyFont="1" applyFill="1" applyBorder="1" applyAlignment="1">
      <alignment horizontal="center" vertical="center"/>
    </xf>
    <xf numFmtId="0" fontId="93" fillId="56" borderId="33" xfId="0" applyFont="1" applyFill="1" applyBorder="1" applyAlignment="1">
      <alignment horizontal="center" vertical="center" wrapText="1"/>
    </xf>
    <xf numFmtId="0" fontId="108" fillId="56" borderId="33" xfId="0" applyFont="1" applyFill="1" applyBorder="1" applyAlignment="1">
      <alignment horizontal="center" vertical="center" wrapText="1"/>
    </xf>
    <xf numFmtId="0" fontId="40" fillId="56" borderId="33" xfId="0" applyFont="1" applyFill="1" applyBorder="1" applyAlignment="1">
      <alignment vertical="center" wrapText="1"/>
    </xf>
    <xf numFmtId="39" fontId="93" fillId="56" borderId="33" xfId="0" applyNumberFormat="1" applyFont="1" applyFill="1" applyBorder="1" applyAlignment="1">
      <alignment horizontal="center" vertical="center" wrapText="1"/>
    </xf>
    <xf numFmtId="0" fontId="93" fillId="56" borderId="60" xfId="0" applyFont="1" applyFill="1" applyBorder="1" applyAlignment="1">
      <alignment horizontal="center" vertical="center" wrapText="1"/>
    </xf>
    <xf numFmtId="0" fontId="40" fillId="56" borderId="60" xfId="0" applyFont="1" applyFill="1" applyBorder="1" applyAlignment="1">
      <alignment vertical="center" wrapText="1"/>
    </xf>
    <xf numFmtId="2" fontId="93" fillId="56" borderId="60" xfId="113" applyNumberFormat="1" applyFont="1" applyFill="1" applyBorder="1" applyAlignment="1">
      <alignment horizontal="center" vertical="center" wrapText="1"/>
    </xf>
    <xf numFmtId="0" fontId="109" fillId="56" borderId="94" xfId="0" applyFont="1" applyFill="1" applyBorder="1" applyAlignment="1">
      <alignment horizontal="center" vertical="center"/>
    </xf>
    <xf numFmtId="0" fontId="110" fillId="56" borderId="95" xfId="0" applyFont="1" applyFill="1" applyBorder="1" applyAlignment="1">
      <alignment horizontal="center" vertical="center" wrapText="1"/>
    </xf>
    <xf numFmtId="0" fontId="0" fillId="56" borderId="95" xfId="0" applyFill="1" applyBorder="1" applyAlignment="1">
      <alignment horizontal="center" vertical="center"/>
    </xf>
    <xf numFmtId="0" fontId="4" fillId="56" borderId="95" xfId="0" applyFont="1" applyFill="1" applyBorder="1" applyAlignment="1">
      <alignment vertical="center" wrapText="1"/>
    </xf>
    <xf numFmtId="43" fontId="109" fillId="56" borderId="95" xfId="239" applyFont="1" applyFill="1" applyBorder="1" applyAlignment="1">
      <alignment horizontal="center" vertical="center"/>
    </xf>
    <xf numFmtId="43" fontId="111" fillId="56" borderId="96" xfId="239" applyFont="1" applyFill="1" applyBorder="1" applyAlignment="1">
      <alignment horizontal="right" vertical="center"/>
    </xf>
    <xf numFmtId="0" fontId="0" fillId="0" borderId="33" xfId="0" applyBorder="1" applyAlignment="1">
      <alignment/>
    </xf>
    <xf numFmtId="170" fontId="94" fillId="56" borderId="52" xfId="0" applyNumberFormat="1" applyFont="1" applyFill="1" applyBorder="1" applyAlignment="1">
      <alignment horizontal="center" vertical="center" wrapText="1"/>
    </xf>
    <xf numFmtId="0" fontId="102" fillId="56" borderId="51" xfId="0" applyFont="1" applyFill="1" applyBorder="1" applyAlignment="1">
      <alignment horizontal="center" vertical="center" wrapText="1"/>
    </xf>
    <xf numFmtId="0" fontId="100" fillId="56" borderId="51" xfId="0" applyFont="1" applyFill="1" applyBorder="1" applyAlignment="1">
      <alignment horizontal="center" vertical="center" wrapText="1"/>
    </xf>
    <xf numFmtId="0" fontId="108" fillId="56" borderId="59" xfId="0" applyFont="1" applyFill="1" applyBorder="1" applyAlignment="1">
      <alignment horizontal="center" vertical="center"/>
    </xf>
    <xf numFmtId="0" fontId="108" fillId="56" borderId="32" xfId="0" applyFont="1" applyFill="1" applyBorder="1" applyAlignment="1">
      <alignment horizontal="center" vertical="center"/>
    </xf>
    <xf numFmtId="0" fontId="108" fillId="56" borderId="62" xfId="0" applyFont="1" applyFill="1" applyBorder="1" applyAlignment="1">
      <alignment horizontal="center" vertical="center"/>
    </xf>
    <xf numFmtId="0" fontId="93" fillId="56" borderId="63" xfId="0" applyFont="1" applyFill="1" applyBorder="1" applyAlignment="1">
      <alignment horizontal="center" vertical="center" wrapText="1"/>
    </xf>
    <xf numFmtId="0" fontId="40" fillId="56" borderId="63" xfId="0" applyFont="1" applyFill="1" applyBorder="1" applyAlignment="1">
      <alignment vertical="center" wrapText="1"/>
    </xf>
    <xf numFmtId="39" fontId="93" fillId="56" borderId="6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43" fontId="108" fillId="56" borderId="64" xfId="239" applyFont="1" applyFill="1" applyBorder="1" applyAlignment="1">
      <alignment horizontal="center" vertical="center"/>
    </xf>
    <xf numFmtId="43" fontId="107" fillId="0" borderId="48" xfId="239" applyFont="1" applyBorder="1" applyAlignment="1">
      <alignment horizontal="center" vertical="center"/>
    </xf>
    <xf numFmtId="43" fontId="107" fillId="0" borderId="29" xfId="239" applyFont="1" applyBorder="1" applyAlignment="1">
      <alignment horizontal="center" vertical="center"/>
    </xf>
    <xf numFmtId="0" fontId="10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47" xfId="126" applyFont="1" applyFill="1" applyBorder="1" applyAlignment="1" applyProtection="1">
      <alignment horizontal="center"/>
      <protection locked="0"/>
    </xf>
    <xf numFmtId="0" fontId="33" fillId="0" borderId="48" xfId="178" applyFont="1" applyFill="1" applyBorder="1" applyAlignment="1" applyProtection="1">
      <alignment horizontal="right" vertical="center"/>
      <protection/>
    </xf>
    <xf numFmtId="43" fontId="112" fillId="0" borderId="0" xfId="238" applyFont="1" applyFill="1" applyBorder="1" applyAlignment="1" applyProtection="1">
      <alignment horizontal="center" vertical="center"/>
      <protection/>
    </xf>
    <xf numFmtId="0" fontId="24" fillId="0" borderId="23" xfId="126" applyFont="1" applyBorder="1" applyAlignment="1" applyProtection="1">
      <alignment horizontal="center"/>
      <protection locked="0"/>
    </xf>
    <xf numFmtId="0" fontId="24" fillId="0" borderId="0" xfId="126" applyFont="1" applyBorder="1" applyAlignment="1" applyProtection="1">
      <alignment horizontal="center"/>
      <protection locked="0"/>
    </xf>
    <xf numFmtId="0" fontId="24" fillId="0" borderId="24" xfId="126" applyFont="1" applyBorder="1" applyAlignment="1" applyProtection="1">
      <alignment horizontal="center"/>
      <protection locked="0"/>
    </xf>
    <xf numFmtId="0" fontId="24" fillId="0" borderId="23" xfId="166" applyFont="1" applyBorder="1" applyAlignment="1" applyProtection="1">
      <alignment horizontal="center" vertical="center" wrapText="1"/>
      <protection locked="0"/>
    </xf>
    <xf numFmtId="0" fontId="24" fillId="0" borderId="0" xfId="166" applyFont="1" applyBorder="1" applyAlignment="1" applyProtection="1">
      <alignment horizontal="center" vertical="center" wrapText="1"/>
      <protection locked="0"/>
    </xf>
    <xf numFmtId="0" fontId="24" fillId="0" borderId="24" xfId="166" applyFont="1" applyBorder="1" applyAlignment="1" applyProtection="1">
      <alignment horizontal="center" vertical="center" wrapText="1"/>
      <protection locked="0"/>
    </xf>
    <xf numFmtId="0" fontId="24" fillId="0" borderId="23" xfId="126" applyFont="1" applyBorder="1" applyAlignment="1" applyProtection="1">
      <alignment horizontal="center"/>
      <protection/>
    </xf>
    <xf numFmtId="0" fontId="24" fillId="0" borderId="0" xfId="126" applyFont="1" applyBorder="1" applyAlignment="1" applyProtection="1">
      <alignment horizontal="center"/>
      <protection/>
    </xf>
    <xf numFmtId="0" fontId="24" fillId="0" borderId="24" xfId="126" applyFont="1" applyBorder="1" applyAlignment="1" applyProtection="1">
      <alignment horizontal="center"/>
      <protection/>
    </xf>
    <xf numFmtId="0" fontId="28" fillId="0" borderId="23" xfId="126" applyFont="1" applyBorder="1" applyAlignment="1" applyProtection="1">
      <alignment horizontal="center" wrapText="1"/>
      <protection locked="0"/>
    </xf>
    <xf numFmtId="0" fontId="28" fillId="0" borderId="0" xfId="126" applyFont="1" applyBorder="1" applyAlignment="1" applyProtection="1">
      <alignment horizontal="center" wrapText="1"/>
      <protection locked="0"/>
    </xf>
    <xf numFmtId="0" fontId="28" fillId="0" borderId="24" xfId="126" applyFont="1" applyBorder="1" applyAlignment="1" applyProtection="1">
      <alignment horizontal="center" wrapText="1"/>
      <protection locked="0"/>
    </xf>
    <xf numFmtId="0" fontId="28" fillId="0" borderId="23" xfId="126" applyFont="1" applyBorder="1" applyAlignment="1" applyProtection="1">
      <alignment horizontal="center"/>
      <protection locked="0"/>
    </xf>
    <xf numFmtId="0" fontId="28" fillId="0" borderId="0" xfId="126" applyFont="1" applyBorder="1" applyAlignment="1" applyProtection="1">
      <alignment horizontal="center"/>
      <protection locked="0"/>
    </xf>
    <xf numFmtId="0" fontId="28" fillId="0" borderId="24" xfId="126" applyFont="1" applyBorder="1" applyAlignment="1" applyProtection="1">
      <alignment horizontal="center"/>
      <protection locked="0"/>
    </xf>
    <xf numFmtId="171" fontId="113" fillId="0" borderId="0" xfId="237" applyFont="1" applyAlignment="1" applyProtection="1">
      <alignment horizontal="center"/>
      <protection locked="0"/>
    </xf>
    <xf numFmtId="0" fontId="4" fillId="0" borderId="0" xfId="126" applyFont="1" applyFill="1" applyBorder="1" applyAlignment="1" applyProtection="1">
      <alignment horizontal="center" vertical="center"/>
      <protection/>
    </xf>
    <xf numFmtId="171" fontId="31" fillId="0" borderId="0" xfId="237" applyFont="1" applyFill="1" applyBorder="1" applyAlignment="1" applyProtection="1">
      <alignment horizontal="center" vertical="center"/>
      <protection/>
    </xf>
    <xf numFmtId="0" fontId="114" fillId="54" borderId="85" xfId="126" applyFont="1" applyFill="1" applyBorder="1" applyAlignment="1" applyProtection="1">
      <alignment horizontal="center" vertical="center"/>
      <protection/>
    </xf>
    <xf numFmtId="0" fontId="114" fillId="54" borderId="97" xfId="126" applyFont="1" applyFill="1" applyBorder="1" applyAlignment="1" applyProtection="1">
      <alignment horizontal="center" vertical="center"/>
      <protection/>
    </xf>
    <xf numFmtId="0" fontId="114" fillId="54" borderId="28" xfId="126" applyFont="1" applyFill="1" applyBorder="1" applyAlignment="1" applyProtection="1">
      <alignment horizontal="center" vertical="center"/>
      <protection/>
    </xf>
    <xf numFmtId="0" fontId="98" fillId="0" borderId="0" xfId="126" applyFont="1" applyFill="1" applyBorder="1" applyAlignment="1" applyProtection="1">
      <alignment horizontal="left" wrapText="1"/>
      <protection locked="0"/>
    </xf>
    <xf numFmtId="0" fontId="98" fillId="0" borderId="0" xfId="126" applyFont="1" applyFill="1" applyBorder="1" applyAlignment="1" applyProtection="1">
      <alignment horizontal="left"/>
      <protection locked="0"/>
    </xf>
    <xf numFmtId="2" fontId="113" fillId="0" borderId="0" xfId="126" applyNumberFormat="1" applyFont="1" applyAlignment="1" applyProtection="1">
      <alignment horizontal="left" vertical="center" wrapText="1"/>
      <protection/>
    </xf>
    <xf numFmtId="2" fontId="94" fillId="0" borderId="0" xfId="126" applyNumberFormat="1" applyFont="1" applyAlignment="1" applyProtection="1">
      <alignment horizontal="left" vertical="center" wrapText="1"/>
      <protection/>
    </xf>
    <xf numFmtId="0" fontId="94" fillId="0" borderId="0" xfId="198" applyNumberFormat="1" applyFont="1" applyFill="1" applyBorder="1" applyAlignment="1" applyProtection="1">
      <alignment horizontal="left" vertical="center" wrapText="1"/>
      <protection/>
    </xf>
    <xf numFmtId="0" fontId="93" fillId="0" borderId="97" xfId="126" applyFont="1" applyBorder="1" applyAlignment="1" applyProtection="1">
      <alignment horizontal="center" wrapText="1"/>
      <protection/>
    </xf>
    <xf numFmtId="0" fontId="93" fillId="0" borderId="97" xfId="126" applyFont="1" applyBorder="1" applyAlignment="1" applyProtection="1">
      <alignment horizontal="center"/>
      <protection/>
    </xf>
    <xf numFmtId="0" fontId="93" fillId="0" borderId="28" xfId="126" applyFont="1" applyBorder="1" applyAlignment="1" applyProtection="1">
      <alignment horizontal="center"/>
      <protection/>
    </xf>
    <xf numFmtId="171" fontId="31" fillId="0" borderId="26" xfId="198" applyFont="1" applyFill="1" applyBorder="1" applyAlignment="1" applyProtection="1">
      <alignment horizontal="center" vertical="center"/>
      <protection/>
    </xf>
    <xf numFmtId="171" fontId="31" fillId="0" borderId="0" xfId="198" applyFont="1" applyFill="1" applyBorder="1" applyAlignment="1" applyProtection="1">
      <alignment horizontal="center" vertical="center"/>
      <protection/>
    </xf>
    <xf numFmtId="171" fontId="94" fillId="0" borderId="0" xfId="198" applyFont="1" applyFill="1" applyBorder="1" applyAlignment="1" applyProtection="1">
      <alignment horizontal="left" vertical="center" wrapText="1"/>
      <protection/>
    </xf>
    <xf numFmtId="0" fontId="95" fillId="0" borderId="85" xfId="126" applyFont="1" applyFill="1" applyBorder="1" applyAlignment="1" applyProtection="1">
      <alignment horizontal="center" vertical="center"/>
      <protection/>
    </xf>
    <xf numFmtId="0" fontId="95" fillId="0" borderId="97" xfId="126" applyFont="1" applyFill="1" applyBorder="1" applyAlignment="1" applyProtection="1">
      <alignment horizontal="center" vertical="center"/>
      <protection/>
    </xf>
    <xf numFmtId="0" fontId="96" fillId="0" borderId="23" xfId="126" applyFont="1" applyBorder="1" applyAlignment="1" applyProtection="1">
      <alignment horizontal="left"/>
      <protection/>
    </xf>
    <xf numFmtId="0" fontId="96" fillId="0" borderId="0" xfId="126" applyFont="1" applyBorder="1" applyAlignment="1" applyProtection="1">
      <alignment horizontal="left"/>
      <protection/>
    </xf>
    <xf numFmtId="0" fontId="96" fillId="0" borderId="42" xfId="126" applyFont="1" applyBorder="1" applyAlignment="1" applyProtection="1">
      <alignment horizontal="left"/>
      <protection/>
    </xf>
    <xf numFmtId="0" fontId="96" fillId="0" borderId="48" xfId="126" applyFont="1" applyBorder="1" applyAlignment="1" applyProtection="1">
      <alignment horizontal="left"/>
      <protection/>
    </xf>
    <xf numFmtId="171" fontId="32" fillId="51" borderId="98" xfId="198" applyFont="1" applyFill="1" applyBorder="1" applyAlignment="1" applyProtection="1">
      <alignment horizontal="center" vertical="center" wrapText="1"/>
      <protection/>
    </xf>
    <xf numFmtId="171" fontId="32" fillId="51" borderId="71" xfId="198" applyFont="1" applyFill="1" applyBorder="1" applyAlignment="1" applyProtection="1">
      <alignment horizontal="center" vertical="center" wrapText="1"/>
      <protection/>
    </xf>
    <xf numFmtId="171" fontId="32" fillId="51" borderId="72" xfId="198" applyFont="1" applyFill="1" applyBorder="1" applyAlignment="1" applyProtection="1">
      <alignment horizontal="center" vertical="center" wrapText="1"/>
      <protection/>
    </xf>
    <xf numFmtId="189" fontId="34" fillId="52" borderId="34" xfId="198" applyNumberFormat="1" applyFont="1" applyFill="1" applyBorder="1" applyAlignment="1" applyProtection="1">
      <alignment horizontal="center"/>
      <protection/>
    </xf>
    <xf numFmtId="189" fontId="34" fillId="52" borderId="35" xfId="198" applyNumberFormat="1" applyFont="1" applyFill="1" applyBorder="1" applyAlignment="1" applyProtection="1">
      <alignment horizontal="center"/>
      <protection/>
    </xf>
    <xf numFmtId="0" fontId="115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wrapText="1"/>
    </xf>
    <xf numFmtId="4" fontId="3" fillId="0" borderId="0" xfId="136" applyNumberFormat="1" applyFont="1" applyFill="1" applyAlignment="1">
      <alignment horizontal="center"/>
      <protection/>
    </xf>
    <xf numFmtId="0" fontId="100" fillId="49" borderId="49" xfId="0" applyFont="1" applyFill="1" applyBorder="1" applyAlignment="1">
      <alignment horizontal="center" vertical="center" wrapText="1"/>
    </xf>
    <xf numFmtId="0" fontId="100" fillId="49" borderId="51" xfId="0" applyFont="1" applyFill="1" applyBorder="1" applyAlignment="1">
      <alignment horizontal="center" vertical="center" wrapText="1"/>
    </xf>
    <xf numFmtId="170" fontId="100" fillId="49" borderId="82" xfId="0" applyNumberFormat="1" applyFont="1" applyFill="1" applyBorder="1" applyAlignment="1">
      <alignment horizontal="center" vertical="center" wrapText="1"/>
    </xf>
    <xf numFmtId="170" fontId="100" fillId="49" borderId="83" xfId="0" applyNumberFormat="1" applyFont="1" applyFill="1" applyBorder="1" applyAlignment="1">
      <alignment horizontal="center" vertical="center" wrapText="1"/>
    </xf>
    <xf numFmtId="0" fontId="100" fillId="49" borderId="81" xfId="0" applyFont="1" applyFill="1" applyBorder="1" applyAlignment="1">
      <alignment horizontal="center" vertical="center" wrapText="1"/>
    </xf>
    <xf numFmtId="0" fontId="100" fillId="49" borderId="79" xfId="0" applyFont="1" applyFill="1" applyBorder="1" applyAlignment="1">
      <alignment horizontal="center" vertical="center" wrapText="1"/>
    </xf>
    <xf numFmtId="0" fontId="100" fillId="49" borderId="50" xfId="0" applyFont="1" applyFill="1" applyBorder="1" applyAlignment="1">
      <alignment horizontal="center" vertical="center" wrapText="1"/>
    </xf>
    <xf numFmtId="0" fontId="100" fillId="49" borderId="52" xfId="0" applyFont="1" applyFill="1" applyBorder="1" applyAlignment="1">
      <alignment horizontal="center" vertical="center" wrapText="1"/>
    </xf>
    <xf numFmtId="170" fontId="100" fillId="49" borderId="50" xfId="0" applyNumberFormat="1" applyFont="1" applyFill="1" applyBorder="1" applyAlignment="1">
      <alignment horizontal="center" vertical="center" wrapText="1"/>
    </xf>
    <xf numFmtId="170" fontId="100" fillId="49" borderId="52" xfId="0" applyNumberFormat="1" applyFont="1" applyFill="1" applyBorder="1" applyAlignment="1">
      <alignment horizontal="center" vertical="center" wrapText="1"/>
    </xf>
    <xf numFmtId="0" fontId="47" fillId="57" borderId="42" xfId="0" applyFont="1" applyFill="1" applyBorder="1" applyAlignment="1">
      <alignment horizontal="center" vertical="center" wrapText="1"/>
    </xf>
    <xf numFmtId="0" fontId="47" fillId="57" borderId="48" xfId="0" applyFont="1" applyFill="1" applyBorder="1" applyAlignment="1">
      <alignment horizontal="center" vertical="center" wrapText="1"/>
    </xf>
    <xf numFmtId="0" fontId="47" fillId="57" borderId="29" xfId="0" applyFont="1" applyFill="1" applyBorder="1" applyAlignment="1">
      <alignment horizontal="center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43" fontId="47" fillId="0" borderId="42" xfId="238" applyFont="1" applyBorder="1" applyAlignment="1">
      <alignment horizontal="left" vertical="center" wrapText="1"/>
    </xf>
    <xf numFmtId="43" fontId="47" fillId="0" borderId="48" xfId="238" applyFont="1" applyBorder="1" applyAlignment="1">
      <alignment horizontal="left" vertical="center" wrapText="1"/>
    </xf>
    <xf numFmtId="43" fontId="47" fillId="0" borderId="79" xfId="238" applyFont="1" applyBorder="1" applyAlignment="1">
      <alignment horizontal="left" vertical="center" wrapText="1"/>
    </xf>
    <xf numFmtId="0" fontId="47" fillId="0" borderId="90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89" xfId="0" applyFont="1" applyBorder="1" applyAlignment="1">
      <alignment horizontal="center" vertical="center" wrapText="1"/>
    </xf>
    <xf numFmtId="171" fontId="27" fillId="0" borderId="21" xfId="126" applyNumberFormat="1" applyFont="1" applyFill="1" applyBorder="1" applyAlignment="1" applyProtection="1">
      <alignment horizontal="center" vertical="center" wrapText="1"/>
      <protection/>
    </xf>
    <xf numFmtId="0" fontId="27" fillId="0" borderId="21" xfId="126" applyFont="1" applyFill="1" applyBorder="1" applyAlignment="1" applyProtection="1">
      <alignment horizontal="center" vertical="center" wrapText="1"/>
      <protection/>
    </xf>
    <xf numFmtId="0" fontId="27" fillId="0" borderId="0" xfId="126" applyFont="1" applyFill="1" applyBorder="1" applyAlignment="1" applyProtection="1">
      <alignment horizontal="center" vertical="center" wrapText="1"/>
      <protection/>
    </xf>
    <xf numFmtId="0" fontId="28" fillId="0" borderId="99" xfId="178" applyFont="1" applyFill="1" applyBorder="1" applyAlignment="1" applyProtection="1">
      <alignment horizontal="center" vertical="center" wrapText="1"/>
      <protection/>
    </xf>
    <xf numFmtId="0" fontId="28" fillId="0" borderId="47" xfId="178" applyFont="1" applyFill="1" applyBorder="1" applyAlignment="1" applyProtection="1">
      <alignment horizontal="center" vertical="center" wrapText="1"/>
      <protection/>
    </xf>
    <xf numFmtId="0" fontId="33" fillId="0" borderId="42" xfId="178" applyFont="1" applyFill="1" applyBorder="1" applyAlignment="1" applyProtection="1">
      <alignment horizontal="left" vertical="center"/>
      <protection/>
    </xf>
    <xf numFmtId="0" fontId="33" fillId="0" borderId="48" xfId="178" applyFont="1" applyFill="1" applyBorder="1" applyAlignment="1" applyProtection="1">
      <alignment horizontal="left" vertical="center"/>
      <protection/>
    </xf>
    <xf numFmtId="171" fontId="33" fillId="0" borderId="42" xfId="234" applyFont="1" applyFill="1" applyBorder="1" applyAlignment="1" applyProtection="1">
      <alignment horizontal="left" vertical="center"/>
      <protection/>
    </xf>
    <xf numFmtId="171" fontId="33" fillId="0" borderId="48" xfId="234" applyFont="1" applyFill="1" applyBorder="1" applyAlignment="1" applyProtection="1">
      <alignment horizontal="left" vertical="center"/>
      <protection/>
    </xf>
    <xf numFmtId="0" fontId="40" fillId="0" borderId="0" xfId="126" applyFont="1" applyFill="1" applyBorder="1" applyAlignment="1" applyProtection="1">
      <alignment horizontal="center"/>
      <protection locked="0"/>
    </xf>
    <xf numFmtId="0" fontId="37" fillId="0" borderId="30" xfId="166" applyNumberFormat="1" applyFont="1" applyBorder="1" applyAlignment="1">
      <alignment horizontal="center" vertical="center"/>
      <protection/>
    </xf>
    <xf numFmtId="0" fontId="37" fillId="0" borderId="62" xfId="166" applyNumberFormat="1" applyFont="1" applyBorder="1" applyAlignment="1">
      <alignment horizontal="center" vertical="center"/>
      <protection/>
    </xf>
    <xf numFmtId="170" fontId="37" fillId="0" borderId="31" xfId="166" applyNumberFormat="1" applyFont="1" applyBorder="1" applyAlignment="1">
      <alignment horizontal="left" vertical="center" wrapText="1"/>
      <protection/>
    </xf>
    <xf numFmtId="170" fontId="37" fillId="0" borderId="63" xfId="166" applyNumberFormat="1" applyFont="1" applyBorder="1" applyAlignment="1">
      <alignment horizontal="left" vertical="center" wrapText="1"/>
      <protection/>
    </xf>
    <xf numFmtId="10" fontId="37" fillId="0" borderId="31" xfId="189" applyNumberFormat="1" applyFont="1" applyBorder="1" applyAlignment="1">
      <alignment horizontal="center" vertical="center"/>
    </xf>
    <xf numFmtId="10" fontId="37" fillId="0" borderId="63" xfId="189" applyNumberFormat="1" applyFont="1" applyBorder="1" applyAlignment="1">
      <alignment horizontal="center" vertical="center"/>
    </xf>
    <xf numFmtId="44" fontId="46" fillId="0" borderId="100" xfId="121" applyFont="1" applyFill="1" applyBorder="1" applyAlignment="1" applyProtection="1">
      <alignment horizontal="center" vertical="center"/>
      <protection/>
    </xf>
    <xf numFmtId="44" fontId="46" fillId="0" borderId="101" xfId="121" applyFont="1" applyFill="1" applyBorder="1" applyAlignment="1" applyProtection="1">
      <alignment horizontal="center" vertical="center"/>
      <protection/>
    </xf>
    <xf numFmtId="0" fontId="37" fillId="54" borderId="25" xfId="166" applyFont="1" applyFill="1" applyBorder="1" applyAlignment="1">
      <alignment vertical="center" wrapText="1"/>
      <protection/>
    </xf>
    <xf numFmtId="0" fontId="37" fillId="54" borderId="26" xfId="166" applyFont="1" applyFill="1" applyBorder="1" applyAlignment="1">
      <alignment vertical="center" wrapText="1"/>
      <protection/>
    </xf>
    <xf numFmtId="0" fontId="37" fillId="54" borderId="20" xfId="166" applyFont="1" applyFill="1" applyBorder="1" applyAlignment="1">
      <alignment vertical="center" wrapText="1"/>
      <protection/>
    </xf>
    <xf numFmtId="0" fontId="37" fillId="54" borderId="21" xfId="166" applyFont="1" applyFill="1" applyBorder="1" applyAlignment="1">
      <alignment vertical="center" wrapText="1"/>
      <protection/>
    </xf>
    <xf numFmtId="0" fontId="37" fillId="54" borderId="23" xfId="166" applyFont="1" applyFill="1" applyBorder="1" applyAlignment="1">
      <alignment vertical="center" wrapText="1"/>
      <protection/>
    </xf>
    <xf numFmtId="0" fontId="37" fillId="54" borderId="0" xfId="166" applyFont="1" applyFill="1" applyBorder="1" applyAlignment="1">
      <alignment vertical="center" wrapText="1"/>
      <protection/>
    </xf>
    <xf numFmtId="0" fontId="37" fillId="0" borderId="102" xfId="166" applyNumberFormat="1" applyFont="1" applyBorder="1" applyAlignment="1">
      <alignment horizontal="center" vertical="center"/>
      <protection/>
    </xf>
    <xf numFmtId="170" fontId="37" fillId="0" borderId="68" xfId="166" applyNumberFormat="1" applyFont="1" applyBorder="1" applyAlignment="1">
      <alignment horizontal="left" vertical="center" wrapText="1"/>
      <protection/>
    </xf>
    <xf numFmtId="10" fontId="37" fillId="0" borderId="68" xfId="189" applyNumberFormat="1" applyFont="1" applyBorder="1" applyAlignment="1">
      <alignment horizontal="center" vertical="center"/>
    </xf>
    <xf numFmtId="44" fontId="46" fillId="0" borderId="69" xfId="121" applyFont="1" applyFill="1" applyBorder="1" applyAlignment="1" applyProtection="1">
      <alignment horizontal="center" vertical="center"/>
      <protection/>
    </xf>
    <xf numFmtId="170" fontId="37" fillId="54" borderId="60" xfId="166" applyNumberFormat="1" applyFont="1" applyFill="1" applyBorder="1" applyAlignment="1">
      <alignment horizontal="left" vertical="center" wrapText="1"/>
      <protection/>
    </xf>
    <xf numFmtId="170" fontId="37" fillId="54" borderId="68" xfId="166" applyNumberFormat="1" applyFont="1" applyFill="1" applyBorder="1" applyAlignment="1">
      <alignment horizontal="left" vertical="center" wrapText="1"/>
      <protection/>
    </xf>
    <xf numFmtId="10" fontId="37" fillId="54" borderId="60" xfId="189" applyNumberFormat="1" applyFont="1" applyFill="1" applyBorder="1" applyAlignment="1">
      <alignment horizontal="center" vertical="center"/>
    </xf>
    <xf numFmtId="10" fontId="37" fillId="54" borderId="68" xfId="189" applyNumberFormat="1" applyFont="1" applyFill="1" applyBorder="1" applyAlignment="1">
      <alignment horizontal="center" vertical="center"/>
    </xf>
    <xf numFmtId="0" fontId="37" fillId="54" borderId="59" xfId="166" applyNumberFormat="1" applyFont="1" applyFill="1" applyBorder="1" applyAlignment="1">
      <alignment horizontal="center" vertical="center"/>
      <protection/>
    </xf>
    <xf numFmtId="0" fontId="37" fillId="54" borderId="102" xfId="166" applyNumberFormat="1" applyFont="1" applyFill="1" applyBorder="1" applyAlignment="1">
      <alignment horizontal="center" vertical="center"/>
      <protection/>
    </xf>
    <xf numFmtId="0" fontId="33" fillId="58" borderId="92" xfId="178" applyFont="1" applyFill="1" applyBorder="1" applyAlignment="1">
      <alignment horizontal="center" vertical="center" wrapText="1"/>
      <protection/>
    </xf>
    <xf numFmtId="0" fontId="33" fillId="58" borderId="103" xfId="178" applyFont="1" applyFill="1" applyBorder="1" applyAlignment="1">
      <alignment horizontal="center" vertical="center" wrapText="1"/>
      <protection/>
    </xf>
    <xf numFmtId="0" fontId="116" fillId="0" borderId="90" xfId="166" applyFont="1" applyBorder="1" applyAlignment="1">
      <alignment horizontal="center" vertical="center"/>
      <protection/>
    </xf>
    <xf numFmtId="0" fontId="116" fillId="0" borderId="48" xfId="166" applyFont="1" applyBorder="1" applyAlignment="1">
      <alignment horizontal="center" vertical="center"/>
      <protection/>
    </xf>
    <xf numFmtId="0" fontId="116" fillId="0" borderId="29" xfId="166" applyFont="1" applyBorder="1" applyAlignment="1">
      <alignment horizontal="center" vertical="center"/>
      <protection/>
    </xf>
    <xf numFmtId="49" fontId="47" fillId="0" borderId="99" xfId="166" applyNumberFormat="1" applyFont="1" applyFill="1" applyBorder="1" applyAlignment="1">
      <alignment horizontal="center" vertical="center" wrapText="1"/>
      <protection/>
    </xf>
    <xf numFmtId="49" fontId="47" fillId="0" borderId="47" xfId="166" applyNumberFormat="1" applyFont="1" applyFill="1" applyBorder="1" applyAlignment="1">
      <alignment horizontal="center" vertical="center" wrapText="1"/>
      <protection/>
    </xf>
    <xf numFmtId="49" fontId="47" fillId="0" borderId="86" xfId="166" applyNumberFormat="1" applyFont="1" applyFill="1" applyBorder="1" applyAlignment="1">
      <alignment horizontal="center" vertical="center" wrapText="1"/>
      <protection/>
    </xf>
    <xf numFmtId="0" fontId="31" fillId="0" borderId="87" xfId="178" applyFont="1" applyFill="1" applyBorder="1" applyAlignment="1" applyProtection="1">
      <alignment horizontal="center" vertical="center" wrapText="1"/>
      <protection/>
    </xf>
    <xf numFmtId="0" fontId="31" fillId="0" borderId="55" xfId="178" applyFont="1" applyFill="1" applyBorder="1" applyAlignment="1" applyProtection="1">
      <alignment horizontal="center" vertical="center" wrapText="1"/>
      <protection/>
    </xf>
    <xf numFmtId="0" fontId="31" fillId="0" borderId="89" xfId="178" applyFont="1" applyFill="1" applyBorder="1" applyAlignment="1" applyProtection="1">
      <alignment horizontal="center" vertical="center" wrapText="1"/>
      <protection/>
    </xf>
    <xf numFmtId="43" fontId="112" fillId="0" borderId="90" xfId="238" applyFont="1" applyFill="1" applyBorder="1" applyAlignment="1" applyProtection="1">
      <alignment horizontal="center" vertical="center"/>
      <protection/>
    </xf>
    <xf numFmtId="43" fontId="112" fillId="0" borderId="48" xfId="238" applyFont="1" applyFill="1" applyBorder="1" applyAlignment="1" applyProtection="1">
      <alignment horizontal="center" vertical="center"/>
      <protection/>
    </xf>
    <xf numFmtId="0" fontId="33" fillId="0" borderId="90" xfId="178" applyFont="1" applyFill="1" applyBorder="1" applyAlignment="1" applyProtection="1">
      <alignment horizontal="right" vertical="center"/>
      <protection/>
    </xf>
    <xf numFmtId="0" fontId="33" fillId="0" borderId="48" xfId="178" applyFont="1" applyFill="1" applyBorder="1" applyAlignment="1" applyProtection="1">
      <alignment horizontal="right" vertical="center"/>
      <protection/>
    </xf>
    <xf numFmtId="0" fontId="47" fillId="58" borderId="91" xfId="126" applyFont="1" applyFill="1" applyBorder="1" applyAlignment="1">
      <alignment horizontal="center" vertical="center"/>
      <protection/>
    </xf>
    <xf numFmtId="0" fontId="47" fillId="58" borderId="104" xfId="126" applyFont="1" applyFill="1" applyBorder="1" applyAlignment="1">
      <alignment horizontal="center" vertical="center"/>
      <protection/>
    </xf>
    <xf numFmtId="0" fontId="47" fillId="58" borderId="92" xfId="178" applyFont="1" applyFill="1" applyBorder="1" applyAlignment="1">
      <alignment horizontal="center" vertical="center" wrapText="1"/>
      <protection/>
    </xf>
    <xf numFmtId="0" fontId="47" fillId="58" borderId="103" xfId="178" applyFont="1" applyFill="1" applyBorder="1" applyAlignment="1">
      <alignment horizontal="center" vertical="center" wrapText="1"/>
      <protection/>
    </xf>
    <xf numFmtId="191" fontId="47" fillId="58" borderId="92" xfId="234" applyNumberFormat="1" applyFont="1" applyFill="1" applyBorder="1" applyAlignment="1" applyProtection="1">
      <alignment horizontal="center" vertical="center" wrapText="1"/>
      <protection/>
    </xf>
    <xf numFmtId="191" fontId="47" fillId="58" borderId="103" xfId="234" applyNumberFormat="1" applyFont="1" applyFill="1" applyBorder="1" applyAlignment="1" applyProtection="1">
      <alignment horizontal="center" vertical="center" wrapText="1"/>
      <protection/>
    </xf>
    <xf numFmtId="0" fontId="100" fillId="0" borderId="42" xfId="0" applyFont="1" applyFill="1" applyBorder="1" applyAlignment="1">
      <alignment horizontal="center" wrapText="1"/>
    </xf>
    <xf numFmtId="0" fontId="100" fillId="0" borderId="48" xfId="0" applyFont="1" applyFill="1" applyBorder="1" applyAlignment="1">
      <alignment horizontal="center" wrapText="1"/>
    </xf>
    <xf numFmtId="0" fontId="100" fillId="0" borderId="29" xfId="0" applyFont="1" applyFill="1" applyBorder="1" applyAlignment="1">
      <alignment horizontal="center" wrapText="1"/>
    </xf>
    <xf numFmtId="0" fontId="100" fillId="0" borderId="99" xfId="0" applyFont="1" applyBorder="1" applyAlignment="1">
      <alignment horizontal="left" vertical="center" wrapText="1"/>
    </xf>
    <xf numFmtId="0" fontId="100" fillId="0" borderId="47" xfId="0" applyFont="1" applyBorder="1" applyAlignment="1">
      <alignment horizontal="left" vertical="center" wrapText="1"/>
    </xf>
    <xf numFmtId="0" fontId="100" fillId="0" borderId="87" xfId="0" applyFont="1" applyBorder="1" applyAlignment="1">
      <alignment horizontal="left" vertical="center" wrapText="1"/>
    </xf>
    <xf numFmtId="0" fontId="100" fillId="0" borderId="55" xfId="0" applyFont="1" applyBorder="1" applyAlignment="1">
      <alignment horizontal="left" vertical="center" wrapText="1"/>
    </xf>
    <xf numFmtId="0" fontId="117" fillId="0" borderId="42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 wrapText="1"/>
    </xf>
    <xf numFmtId="0" fontId="117" fillId="0" borderId="79" xfId="0" applyFont="1" applyBorder="1" applyAlignment="1">
      <alignment horizontal="center" vertical="center" wrapText="1"/>
    </xf>
    <xf numFmtId="0" fontId="100" fillId="0" borderId="48" xfId="0" applyFont="1" applyBorder="1" applyAlignment="1">
      <alignment horizontal="center" vertical="center" wrapText="1"/>
    </xf>
  </cellXfs>
  <cellStyles count="226">
    <cellStyle name="Normal" xfId="0"/>
    <cellStyle name="20% - Ênfase1" xfId="15"/>
    <cellStyle name="20% - Ênfase1 2" xfId="16"/>
    <cellStyle name="20% - Ênfase1 3" xfId="17"/>
    <cellStyle name="20% - Ênfase2" xfId="18"/>
    <cellStyle name="20% - Ênfase2 2" xfId="19"/>
    <cellStyle name="20% - Ênfase2 3" xfId="20"/>
    <cellStyle name="20% - Ênfase3" xfId="21"/>
    <cellStyle name="20% - Ênfase3 2" xfId="22"/>
    <cellStyle name="20% - Ênfase3 3" xfId="23"/>
    <cellStyle name="20% - Ênfase4" xfId="24"/>
    <cellStyle name="20% - Ênfase4 2" xfId="25"/>
    <cellStyle name="20% - Ênfase4 3" xfId="26"/>
    <cellStyle name="20% - Ênfase5" xfId="27"/>
    <cellStyle name="20% - Ênfase5 2" xfId="28"/>
    <cellStyle name="20% - Ênfase5 3" xfId="29"/>
    <cellStyle name="20% - Ênfase6" xfId="30"/>
    <cellStyle name="20% - Ênfase6 2" xfId="31"/>
    <cellStyle name="20% - Ênfase6 3" xfId="32"/>
    <cellStyle name="40% - Ênfase1" xfId="33"/>
    <cellStyle name="40% - Ênfase1 2" xfId="34"/>
    <cellStyle name="40% - Ênfase1 3" xfId="35"/>
    <cellStyle name="40% - Ênfase2" xfId="36"/>
    <cellStyle name="40% - Ênfase2 2" xfId="37"/>
    <cellStyle name="40% - Ênfase2 3" xfId="38"/>
    <cellStyle name="40% - Ênfase3" xfId="39"/>
    <cellStyle name="40% - Ênfase3 2" xfId="40"/>
    <cellStyle name="40% - Ênfase3 3" xfId="41"/>
    <cellStyle name="40% - Ênfase4" xfId="42"/>
    <cellStyle name="40% - Ênfase4 2" xfId="43"/>
    <cellStyle name="40% - Ênfase4 3" xfId="44"/>
    <cellStyle name="40% - Ênfase5" xfId="45"/>
    <cellStyle name="40% - Ênfase5 2" xfId="46"/>
    <cellStyle name="40% - Ênfase5 3" xfId="47"/>
    <cellStyle name="40% - Ênfase6" xfId="48"/>
    <cellStyle name="40% - Ênfase6 2" xfId="49"/>
    <cellStyle name="40% - Ênfase6 3" xfId="50"/>
    <cellStyle name="60% - Ênfase1" xfId="51"/>
    <cellStyle name="60% - Ênfase1 2" xfId="52"/>
    <cellStyle name="60% - Ênfase1 3" xfId="53"/>
    <cellStyle name="60% - Ênfase2" xfId="54"/>
    <cellStyle name="60% - Ênfase2 2" xfId="55"/>
    <cellStyle name="60% - Ênfase2 3" xfId="56"/>
    <cellStyle name="60% - Ênfase3" xfId="57"/>
    <cellStyle name="60% - Ênfase3 2" xfId="58"/>
    <cellStyle name="60% - Ênfase3 3" xfId="59"/>
    <cellStyle name="60% - Ênfase4" xfId="60"/>
    <cellStyle name="60% - Ênfase4 2" xfId="61"/>
    <cellStyle name="60% - Ênfase4 3" xfId="62"/>
    <cellStyle name="60% - Ênfase5" xfId="63"/>
    <cellStyle name="60% - Ênfase5 2" xfId="64"/>
    <cellStyle name="60% - Ênfase5 3" xfId="65"/>
    <cellStyle name="60% - Ênfase6" xfId="66"/>
    <cellStyle name="60% - Ênfase6 2" xfId="67"/>
    <cellStyle name="60% - Ênfase6 3" xfId="68"/>
    <cellStyle name="Bom" xfId="69"/>
    <cellStyle name="Bom 2" xfId="70"/>
    <cellStyle name="Bom 3" xfId="71"/>
    <cellStyle name="Cálculo" xfId="72"/>
    <cellStyle name="Cálculo 2" xfId="73"/>
    <cellStyle name="Cálculo 3" xfId="74"/>
    <cellStyle name="Célula de Verificação" xfId="75"/>
    <cellStyle name="Célula de Verificação 2" xfId="76"/>
    <cellStyle name="Célula de Verificação 3" xfId="77"/>
    <cellStyle name="Célula Vinculada" xfId="78"/>
    <cellStyle name="Célula Vinculada 2" xfId="79"/>
    <cellStyle name="Célula Vinculada 3" xfId="80"/>
    <cellStyle name="Data" xfId="81"/>
    <cellStyle name="Ênfase1" xfId="82"/>
    <cellStyle name="Ênfase1 2" xfId="83"/>
    <cellStyle name="Ênfase1 3" xfId="84"/>
    <cellStyle name="Ênfase2" xfId="85"/>
    <cellStyle name="Ênfase2 2" xfId="86"/>
    <cellStyle name="Ênfase2 3" xfId="87"/>
    <cellStyle name="Ênfase3" xfId="88"/>
    <cellStyle name="Ênfase3 2" xfId="89"/>
    <cellStyle name="Ênfase3 3" xfId="90"/>
    <cellStyle name="Ênfase4" xfId="91"/>
    <cellStyle name="Ênfase4 2" xfId="92"/>
    <cellStyle name="Ênfase4 3" xfId="93"/>
    <cellStyle name="Ênfase5" xfId="94"/>
    <cellStyle name="Ênfase5 2" xfId="95"/>
    <cellStyle name="Ênfase5 3" xfId="96"/>
    <cellStyle name="Ênfase6" xfId="97"/>
    <cellStyle name="Ênfase6 2" xfId="98"/>
    <cellStyle name="Ênfase6 3" xfId="99"/>
    <cellStyle name="Entrada" xfId="100"/>
    <cellStyle name="Entrada 2" xfId="101"/>
    <cellStyle name="Entrada 3" xfId="102"/>
    <cellStyle name="Excel_BuiltIn_Comma" xfId="103"/>
    <cellStyle name="Fixo" xfId="104"/>
    <cellStyle name="Heading" xfId="105"/>
    <cellStyle name="Heading1" xfId="106"/>
    <cellStyle name="Hyperlink" xfId="107"/>
    <cellStyle name="Hiperlink 2" xfId="108"/>
    <cellStyle name="Hyperlink 2" xfId="109"/>
    <cellStyle name="Incorreto" xfId="110"/>
    <cellStyle name="Incorreto 2" xfId="111"/>
    <cellStyle name="Incorreto 3" xfId="112"/>
    <cellStyle name="Currency" xfId="113"/>
    <cellStyle name="Currency [0]" xfId="114"/>
    <cellStyle name="Moeda 2" xfId="115"/>
    <cellStyle name="Moeda 3" xfId="116"/>
    <cellStyle name="Moeda 3 2" xfId="117"/>
    <cellStyle name="Moeda 4" xfId="118"/>
    <cellStyle name="Moeda 4 2" xfId="119"/>
    <cellStyle name="Moeda 4 3" xfId="120"/>
    <cellStyle name="Moeda 5" xfId="121"/>
    <cellStyle name="Neutra" xfId="122"/>
    <cellStyle name="Neutra 2" xfId="123"/>
    <cellStyle name="Neutra 3" xfId="124"/>
    <cellStyle name="Normal 2" xfId="125"/>
    <cellStyle name="Normal 2 10" xfId="126"/>
    <cellStyle name="Normal 2 11" xfId="127"/>
    <cellStyle name="Normal 2 12" xfId="128"/>
    <cellStyle name="Normal 2 13" xfId="129"/>
    <cellStyle name="Normal 2 14" xfId="130"/>
    <cellStyle name="Normal 2 15" xfId="131"/>
    <cellStyle name="Normal 2 16" xfId="132"/>
    <cellStyle name="Normal 2 17" xfId="133"/>
    <cellStyle name="Normal 2 18" xfId="134"/>
    <cellStyle name="Normal 2 19" xfId="135"/>
    <cellStyle name="Normal 2 2" xfId="136"/>
    <cellStyle name="Normal 2 20" xfId="137"/>
    <cellStyle name="Normal 2 21" xfId="138"/>
    <cellStyle name="Normal 2 22" xfId="139"/>
    <cellStyle name="Normal 2 3" xfId="140"/>
    <cellStyle name="Normal 2 4" xfId="141"/>
    <cellStyle name="Normal 2 5" xfId="142"/>
    <cellStyle name="Normal 2 6" xfId="143"/>
    <cellStyle name="Normal 2 7" xfId="144"/>
    <cellStyle name="Normal 2 8" xfId="145"/>
    <cellStyle name="Normal 2 9" xfId="146"/>
    <cellStyle name="Normal 23" xfId="147"/>
    <cellStyle name="Normal 24" xfId="148"/>
    <cellStyle name="Normal 25" xfId="149"/>
    <cellStyle name="Normal 26" xfId="150"/>
    <cellStyle name="Normal 27" xfId="151"/>
    <cellStyle name="Normal 28" xfId="152"/>
    <cellStyle name="Normal 29" xfId="153"/>
    <cellStyle name="Normal 3" xfId="154"/>
    <cellStyle name="Normal 3 2" xfId="155"/>
    <cellStyle name="Normal 30" xfId="156"/>
    <cellStyle name="Normal 31" xfId="157"/>
    <cellStyle name="Normal 32" xfId="158"/>
    <cellStyle name="Normal 33" xfId="159"/>
    <cellStyle name="Normal 34" xfId="160"/>
    <cellStyle name="Normal 35" xfId="161"/>
    <cellStyle name="Normal 36" xfId="162"/>
    <cellStyle name="Normal 37" xfId="163"/>
    <cellStyle name="Normal 38" xfId="164"/>
    <cellStyle name="Normal 39" xfId="165"/>
    <cellStyle name="Normal 4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8 2" xfId="176"/>
    <cellStyle name="Normal 6 2" xfId="177"/>
    <cellStyle name="Normal_Relação de material" xfId="178"/>
    <cellStyle name="Nota" xfId="179"/>
    <cellStyle name="Nota 2" xfId="180"/>
    <cellStyle name="Nota 3" xfId="181"/>
    <cellStyle name="Percentagem 2" xfId="182"/>
    <cellStyle name="Percentual" xfId="183"/>
    <cellStyle name="Ponto" xfId="184"/>
    <cellStyle name="Percent" xfId="185"/>
    <cellStyle name="Porcentagem 2" xfId="186"/>
    <cellStyle name="Porcentagem 3" xfId="187"/>
    <cellStyle name="Porcentagem 3 2" xfId="188"/>
    <cellStyle name="Porcentagem 3 2 2" xfId="189"/>
    <cellStyle name="Porcentagem 3 3" xfId="190"/>
    <cellStyle name="Porcentagem 4" xfId="191"/>
    <cellStyle name="Result" xfId="192"/>
    <cellStyle name="Result2" xfId="193"/>
    <cellStyle name="Saída" xfId="194"/>
    <cellStyle name="Saída 2" xfId="195"/>
    <cellStyle name="Saída 3" xfId="196"/>
    <cellStyle name="Comma [0]" xfId="197"/>
    <cellStyle name="Separador de milhares 2" xfId="198"/>
    <cellStyle name="Separador de milhares 2 2" xfId="199"/>
    <cellStyle name="Separador de milhares 3" xfId="200"/>
    <cellStyle name="Separador de milhares 3 2" xfId="201"/>
    <cellStyle name="Separador de milhares 4" xfId="202"/>
    <cellStyle name="Separador de milhares 6" xfId="203"/>
    <cellStyle name="Separador de milhares 7" xfId="204"/>
    <cellStyle name="Separador de milhares 8" xfId="205"/>
    <cellStyle name="Texto de Aviso" xfId="206"/>
    <cellStyle name="Texto de Aviso 2" xfId="207"/>
    <cellStyle name="Texto de Aviso 3" xfId="208"/>
    <cellStyle name="Texto Explicativo" xfId="209"/>
    <cellStyle name="Texto Explicativo 2" xfId="210"/>
    <cellStyle name="Texto Explicativo 3" xfId="211"/>
    <cellStyle name="Título" xfId="212"/>
    <cellStyle name="Título 1" xfId="213"/>
    <cellStyle name="Título 1 1" xfId="214"/>
    <cellStyle name="Título 1 1 2" xfId="215"/>
    <cellStyle name="Título 1 2" xfId="216"/>
    <cellStyle name="Título 1 3" xfId="217"/>
    <cellStyle name="Título 2" xfId="218"/>
    <cellStyle name="Título 2 2" xfId="219"/>
    <cellStyle name="Título 2 3" xfId="220"/>
    <cellStyle name="Título 3" xfId="221"/>
    <cellStyle name="Título 3 2" xfId="222"/>
    <cellStyle name="Título 3 3" xfId="223"/>
    <cellStyle name="Título 4" xfId="224"/>
    <cellStyle name="Título 4 2" xfId="225"/>
    <cellStyle name="Título 4 3" xfId="226"/>
    <cellStyle name="Titulo1" xfId="227"/>
    <cellStyle name="Titulo2" xfId="228"/>
    <cellStyle name="Total" xfId="229"/>
    <cellStyle name="Total 2" xfId="230"/>
    <cellStyle name="Total 3" xfId="231"/>
    <cellStyle name="Comma" xfId="232"/>
    <cellStyle name="Vírgula 2" xfId="233"/>
    <cellStyle name="Vírgula 2 2" xfId="234"/>
    <cellStyle name="Vírgula 3" xfId="235"/>
    <cellStyle name="Vírgula 3 2" xfId="236"/>
    <cellStyle name="Vírgula 4" xfId="237"/>
    <cellStyle name="Vírgula 5" xfId="238"/>
    <cellStyle name="Vírgula 6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4</xdr:row>
      <xdr:rowOff>76200</xdr:rowOff>
    </xdr:from>
    <xdr:to>
      <xdr:col>7</xdr:col>
      <xdr:colOff>333375</xdr:colOff>
      <xdr:row>15</xdr:row>
      <xdr:rowOff>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723900"/>
          <a:ext cx="3114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1152525</xdr:colOff>
      <xdr:row>0</xdr:row>
      <xdr:rowOff>742950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352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1009650</xdr:colOff>
      <xdr:row>0</xdr:row>
      <xdr:rowOff>933450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352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21</xdr:row>
      <xdr:rowOff>28575</xdr:rowOff>
    </xdr:from>
    <xdr:to>
      <xdr:col>3</xdr:col>
      <xdr:colOff>9525</xdr:colOff>
      <xdr:row>25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rcRect t="7864"/>
        <a:stretch>
          <a:fillRect/>
        </a:stretch>
      </xdr:blipFill>
      <xdr:spPr>
        <a:xfrm>
          <a:off x="1438275" y="5067300"/>
          <a:ext cx="3724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19050</xdr:colOff>
      <xdr:row>3</xdr:row>
      <xdr:rowOff>504825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905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581025</xdr:colOff>
      <xdr:row>1</xdr:row>
      <xdr:rowOff>304800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0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1200150</xdr:colOff>
      <xdr:row>2</xdr:row>
      <xdr:rowOff>161925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733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381000</xdr:colOff>
      <xdr:row>4</xdr:row>
      <xdr:rowOff>161925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733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braz%20campos\Users\tb\Desktop\UFGD\PSICOLOGIA\MEMO-CAL-ARQ-PISICOLOGIA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funcionarios\Rafael\OR&#199;AMENTOS\2010\NOVEMBRO%202010\UFGD%20-%20MS\LAB.%20BASICOS\COTADA\TABELAS%20DE%20COTA&#199;&#213;ES2.1%2017.3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0.12\d\GPI\DPI\LICITA&#199;&#195;O%202014-PROJETOS\Concorrencia%2002-2014%20Projetos\IF-GO-%20Campus%20Cidade%20de%20Goias%20-%20Rampa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B. INTERNO"/>
      <sheetName val="ACAB EXTERNO "/>
      <sheetName val="ESQUADRI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0"/>
      <sheetName val="Cotações 1"/>
      <sheetName val="Relatório de Compatibilida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eclaração BRAZ"/>
      <sheetName val="Declaração GPI"/>
      <sheetName val="BDI"/>
      <sheetName val="Sintetico Completo"/>
      <sheetName val="Resumo"/>
      <sheetName val="Cronograma"/>
      <sheetName val="Composição de Custos "/>
      <sheetName val="Cotações"/>
    </sheetNames>
    <sheetDataSet>
      <sheetData sheetId="5">
        <row r="11">
          <cell r="A11" t="str">
            <v>1.1</v>
          </cell>
          <cell r="B11" t="str">
            <v>JUNTA A  (RAMPA DE ACESSO TRECHO A)</v>
          </cell>
          <cell r="C11" t="e">
            <v>#N/A</v>
          </cell>
          <cell r="D11" t="e">
            <v>#N/A</v>
          </cell>
          <cell r="E11">
            <v>430528.96</v>
          </cell>
          <cell r="F11">
            <v>0.0734404584382092</v>
          </cell>
          <cell r="G11">
            <v>131888.44498169527</v>
          </cell>
          <cell r="H11">
            <v>562417.4049816953</v>
          </cell>
        </row>
        <row r="12">
          <cell r="A12" t="str">
            <v>1.1.1</v>
          </cell>
          <cell r="B12" t="str">
            <v>SERVIÇOS PRELIMINARES</v>
          </cell>
          <cell r="E12">
            <v>19633.59</v>
          </cell>
          <cell r="F12">
            <v>0.0033491355619557853</v>
          </cell>
          <cell r="G12">
            <v>6014.563235207598</v>
          </cell>
          <cell r="H12">
            <v>25648.1532352076</v>
          </cell>
        </row>
        <row r="13">
          <cell r="A13" t="str">
            <v>1.1.2</v>
          </cell>
          <cell r="B13" t="str">
            <v>ESCAVAÇÕES E MOVIMENTO DE TERRA</v>
          </cell>
          <cell r="E13">
            <v>2496.6099999999997</v>
          </cell>
          <cell r="F13">
            <v>0.0004258765378789326</v>
          </cell>
          <cell r="G13">
            <v>764.8126867603754</v>
          </cell>
          <cell r="H13">
            <v>3261.422686760375</v>
          </cell>
        </row>
        <row r="14">
          <cell r="A14" t="str">
            <v>1.1.3</v>
          </cell>
          <cell r="B14" t="str">
            <v>INFRAESTRUTURA E SUPRAESTRUTURA</v>
          </cell>
          <cell r="E14">
            <v>202582.26</v>
          </cell>
          <cell r="F14">
            <v>0.03455687172785889</v>
          </cell>
          <cell r="G14">
            <v>62059.1452251609</v>
          </cell>
          <cell r="H14">
            <v>264641.4052251609</v>
          </cell>
        </row>
        <row r="15">
          <cell r="A15" t="str">
            <v>1.1.4</v>
          </cell>
          <cell r="B15" t="str">
            <v>IMPERMEABILIZAÇÕES / JUNTA DILATAÇÃO</v>
          </cell>
          <cell r="E15">
            <v>3550.41</v>
          </cell>
          <cell r="F15">
            <v>0.0006056357696439336</v>
          </cell>
          <cell r="G15">
            <v>1087.6342765593763</v>
          </cell>
          <cell r="H15">
            <v>4638.044276559376</v>
          </cell>
        </row>
        <row r="16">
          <cell r="A16" t="str">
            <v>1.1.5</v>
          </cell>
          <cell r="B16" t="str">
            <v>ESTRUTURA METALICA</v>
          </cell>
          <cell r="E16">
            <v>30297.95</v>
          </cell>
          <cell r="F16">
            <v>0.005168282611552869</v>
          </cell>
          <cell r="G16">
            <v>9281.488315288138</v>
          </cell>
          <cell r="H16">
            <v>39579.438315288135</v>
          </cell>
        </row>
        <row r="17">
          <cell r="A17" t="str">
            <v>1.1.6</v>
          </cell>
          <cell r="B17" t="str">
            <v>ALVENARIAS E DIVISÓRIAS</v>
          </cell>
          <cell r="E17">
            <v>8117.4</v>
          </cell>
          <cell r="F17">
            <v>0.0013846817118326241</v>
          </cell>
          <cell r="G17">
            <v>2486.688150535595</v>
          </cell>
          <cell r="H17">
            <v>10604.088150535594</v>
          </cell>
        </row>
        <row r="18">
          <cell r="A18" t="str">
            <v>1.1.7</v>
          </cell>
          <cell r="B18" t="str">
            <v>COBERTURA E PROTEÇÕES</v>
          </cell>
          <cell r="E18">
            <v>46138.42</v>
          </cell>
          <cell r="F18">
            <v>0.007870380465032224</v>
          </cell>
          <cell r="G18">
            <v>14134.065377883868</v>
          </cell>
          <cell r="H18">
            <v>60272.485377883866</v>
          </cell>
        </row>
        <row r="19">
          <cell r="A19" t="str">
            <v>1.1.8</v>
          </cell>
          <cell r="B19" t="str">
            <v>REVESTIMENTOS</v>
          </cell>
          <cell r="E19">
            <v>28716.41</v>
          </cell>
          <cell r="F19">
            <v>0.004898500475089005</v>
          </cell>
          <cell r="G19">
            <v>8796.998604592834</v>
          </cell>
          <cell r="H19">
            <v>37513.408604592834</v>
          </cell>
        </row>
        <row r="20">
          <cell r="A20" t="str">
            <v>1.1.9</v>
          </cell>
          <cell r="B20" t="str">
            <v>PAVIMENTAÇÃO</v>
          </cell>
          <cell r="E20">
            <v>8415.12</v>
          </cell>
          <cell r="F20">
            <v>0.0014354673623176082</v>
          </cell>
          <cell r="G20">
            <v>2577.891835973969</v>
          </cell>
          <cell r="H20">
            <v>10993.01183597397</v>
          </cell>
        </row>
        <row r="21">
          <cell r="A21" t="str">
            <v>1.1.10</v>
          </cell>
          <cell r="B21" t="str">
            <v>PINTURAS</v>
          </cell>
          <cell r="E21">
            <v>20006.43</v>
          </cell>
          <cell r="F21">
            <v>0.0034127353265897414</v>
          </cell>
          <cell r="G21">
            <v>6128.779216931511</v>
          </cell>
          <cell r="H21">
            <v>26135.20921693151</v>
          </cell>
        </row>
        <row r="22">
          <cell r="A22" t="str">
            <v>1.1.11</v>
          </cell>
          <cell r="B22" t="str">
            <v>INSTALAÇÕES ELÉTRICAS</v>
          </cell>
          <cell r="E22">
            <v>10990.94</v>
          </cell>
          <cell r="F22">
            <v>0.001874855694415658</v>
          </cell>
          <cell r="G22">
            <v>3366.969751551937</v>
          </cell>
          <cell r="H22">
            <v>14357.909751551937</v>
          </cell>
        </row>
        <row r="23">
          <cell r="A23" t="str">
            <v>1.1.12</v>
          </cell>
          <cell r="B23" t="str">
            <v>INSTALAÇÕES HIDROSSANITÁRIAS</v>
          </cell>
          <cell r="E23">
            <v>26216.17999999999</v>
          </cell>
          <cell r="F23">
            <v>0.0044720064306443185</v>
          </cell>
          <cell r="G23">
            <v>8031.076965322422</v>
          </cell>
          <cell r="H23">
            <v>34247.25696532241</v>
          </cell>
        </row>
        <row r="24">
          <cell r="A24" t="str">
            <v>1.1.13</v>
          </cell>
          <cell r="B24" t="str">
            <v>INSTALAÇÕES DE COMBATE A INCÊNDIO</v>
          </cell>
          <cell r="E24">
            <v>7986.44</v>
          </cell>
          <cell r="F24">
            <v>0.001362342303034043</v>
          </cell>
          <cell r="G24">
            <v>2446.569802272094</v>
          </cell>
          <cell r="H24">
            <v>10433.009802272094</v>
          </cell>
        </row>
        <row r="25">
          <cell r="A25" t="str">
            <v>1.1.14</v>
          </cell>
          <cell r="B25" t="str">
            <v>INSTALAÇÕES SPDA</v>
          </cell>
          <cell r="E25">
            <v>9764.7</v>
          </cell>
          <cell r="F25">
            <v>0.001665681315634566</v>
          </cell>
          <cell r="G25">
            <v>2991.3228106949177</v>
          </cell>
          <cell r="H25">
            <v>12756.022810694918</v>
          </cell>
        </row>
        <row r="26">
          <cell r="A26" t="str">
            <v>1.1.15</v>
          </cell>
          <cell r="B26" t="str">
            <v>SERVIÇOS COMPLEMENTARES</v>
          </cell>
          <cell r="E26">
            <v>5616.1</v>
          </cell>
          <cell r="F26">
            <v>0.000958005144729002</v>
          </cell>
          <cell r="G26">
            <v>1720.4387269597355</v>
          </cell>
          <cell r="H26">
            <v>7336.538726959736</v>
          </cell>
        </row>
        <row r="27">
          <cell r="A27" t="str">
            <v>1.2</v>
          </cell>
          <cell r="B27" t="str">
            <v>JUNTA B  (RAMPA DE ACESSO TRECHO B)</v>
          </cell>
          <cell r="E27">
            <v>819493.7500000001</v>
          </cell>
          <cell r="F27">
            <v>0.13979082077834487</v>
          </cell>
          <cell r="G27">
            <v>251044.10249131243</v>
          </cell>
          <cell r="H27">
            <v>1070537.8524913127</v>
          </cell>
        </row>
        <row r="28">
          <cell r="A28" t="str">
            <v>1.2.1</v>
          </cell>
          <cell r="B28" t="str">
            <v>SERVIÇOS PRELIMINARES</v>
          </cell>
          <cell r="E28">
            <v>28471.859999999997</v>
          </cell>
          <cell r="F28">
            <v>0.004856784665515906</v>
          </cell>
          <cell r="G28">
            <v>8722.083042071154</v>
          </cell>
          <cell r="H28">
            <v>37193.94304207115</v>
          </cell>
        </row>
        <row r="29">
          <cell r="A29" t="str">
            <v>1.2.2</v>
          </cell>
          <cell r="B29" t="str">
            <v>ESCAVAÇÕES E MOVIMENTO DE TERRA</v>
          </cell>
          <cell r="E29">
            <v>14167.79</v>
          </cell>
          <cell r="F29">
            <v>0.0024167688804401823</v>
          </cell>
          <cell r="G29">
            <v>4340.167481247284</v>
          </cell>
          <cell r="H29">
            <v>18507.957481247286</v>
          </cell>
        </row>
        <row r="30">
          <cell r="A30" t="str">
            <v>1.2.3</v>
          </cell>
          <cell r="B30" t="str">
            <v>INFRAESTRUTURA E SUPRAESTRUTURA</v>
          </cell>
          <cell r="E30">
            <v>460177.2700000001</v>
          </cell>
          <cell r="F30">
            <v>0.07849792420849826</v>
          </cell>
          <cell r="G30">
            <v>140970.92227250343</v>
          </cell>
          <cell r="H30">
            <v>601148.1922725035</v>
          </cell>
        </row>
        <row r="31">
          <cell r="A31" t="str">
            <v>1.2.4</v>
          </cell>
          <cell r="B31" t="str">
            <v>IMPERMEABILIZAÇÕES / JUNTA DILATAÇÃO</v>
          </cell>
          <cell r="E31">
            <v>3700.44</v>
          </cell>
          <cell r="F31">
            <v>0.0006312281757377874</v>
          </cell>
          <cell r="G31">
            <v>1133.5945376312536</v>
          </cell>
          <cell r="H31">
            <v>4834.034537631253</v>
          </cell>
        </row>
        <row r="32">
          <cell r="A32" t="str">
            <v>1.2.5</v>
          </cell>
          <cell r="B32" t="str">
            <v>ESTRUTURA METALICA</v>
          </cell>
          <cell r="E32">
            <v>39609.07000000001</v>
          </cell>
          <cell r="F32">
            <v>0.006756591377990274</v>
          </cell>
          <cell r="G32">
            <v>12133.861214518804</v>
          </cell>
          <cell r="H32">
            <v>51742.93121451881</v>
          </cell>
        </row>
        <row r="33">
          <cell r="A33" t="str">
            <v>1.2.6</v>
          </cell>
          <cell r="B33" t="str">
            <v>ALVENARIAS E DIVISÓRIAS</v>
          </cell>
          <cell r="E33">
            <v>14930.67</v>
          </cell>
          <cell r="F33">
            <v>0.002546902418805037</v>
          </cell>
          <cell r="G33">
            <v>4573.868500820126</v>
          </cell>
          <cell r="H33">
            <v>19504.538500820127</v>
          </cell>
        </row>
        <row r="34">
          <cell r="A34" t="str">
            <v>1.2.7</v>
          </cell>
          <cell r="B34" t="str">
            <v>COBERTURA E PROTEÇÕES</v>
          </cell>
          <cell r="E34">
            <v>70334.45</v>
          </cell>
          <cell r="F34">
            <v>0.011997785821421404</v>
          </cell>
          <cell r="G34">
            <v>21546.288637918333</v>
          </cell>
          <cell r="H34">
            <v>91880.73863791833</v>
          </cell>
        </row>
        <row r="35">
          <cell r="A35" t="str">
            <v>1.2.8</v>
          </cell>
          <cell r="B35" t="str">
            <v>REVESTIMENTOS</v>
          </cell>
          <cell r="E35">
            <v>67141.88</v>
          </cell>
          <cell r="F35">
            <v>0.011453191087547816</v>
          </cell>
          <cell r="G35">
            <v>20568.275235997102</v>
          </cell>
          <cell r="H35">
            <v>87710.15523599711</v>
          </cell>
        </row>
        <row r="36">
          <cell r="A36" t="str">
            <v>1.2.9</v>
          </cell>
          <cell r="B36" t="str">
            <v>PAVIMENTAÇÃO</v>
          </cell>
          <cell r="E36">
            <v>12329.8</v>
          </cell>
          <cell r="F36">
            <v>0.002103241009504754</v>
          </cell>
          <cell r="G36">
            <v>3777.1167564089214</v>
          </cell>
          <cell r="H36">
            <v>16106.91675640892</v>
          </cell>
        </row>
        <row r="37">
          <cell r="A37" t="str">
            <v>1.2.10</v>
          </cell>
          <cell r="B37" t="str">
            <v>PINTURAS</v>
          </cell>
          <cell r="E37">
            <v>34416.979999999996</v>
          </cell>
          <cell r="F37">
            <v>0.005870914674958629</v>
          </cell>
          <cell r="G37">
            <v>10543.313911254903</v>
          </cell>
          <cell r="H37">
            <v>44960.2939112549</v>
          </cell>
        </row>
        <row r="38">
          <cell r="A38" t="str">
            <v>1.2.11</v>
          </cell>
          <cell r="B38" t="str">
            <v>INSTALAÇÕES ELÉTRICAS</v>
          </cell>
          <cell r="E38">
            <v>12874.78</v>
          </cell>
          <cell r="F38">
            <v>0.0021962047465775287</v>
          </cell>
          <cell r="G38">
            <v>3944.0661870491376</v>
          </cell>
          <cell r="H38">
            <v>16818.846187049137</v>
          </cell>
        </row>
        <row r="39">
          <cell r="A39" t="str">
            <v>1.2.12</v>
          </cell>
          <cell r="B39" t="str">
            <v>INSTALAÇÕES HIDROSSANITÁRIAS</v>
          </cell>
          <cell r="E39">
            <v>37422.69000000001</v>
          </cell>
          <cell r="F39">
            <v>0.006383634470468578</v>
          </cell>
          <cell r="G39">
            <v>11464.084532506336</v>
          </cell>
          <cell r="H39">
            <v>48886.774532506344</v>
          </cell>
        </row>
        <row r="40">
          <cell r="A40" t="str">
            <v>1.2.13</v>
          </cell>
          <cell r="B40" t="str">
            <v>INSTALAÇÕES DE COMBATE A INCÊNDIO</v>
          </cell>
          <cell r="E40">
            <v>6215.76</v>
          </cell>
          <cell r="F40">
            <v>0.0010602963014192664</v>
          </cell>
          <cell r="G40">
            <v>1904.138854629947</v>
          </cell>
          <cell r="H40">
            <v>8119.898854629947</v>
          </cell>
        </row>
        <row r="41">
          <cell r="A41" t="str">
            <v>1.2.14</v>
          </cell>
          <cell r="B41" t="str">
            <v>INSTALAÇÕES SPDA</v>
          </cell>
          <cell r="E41">
            <v>9471.62</v>
          </cell>
          <cell r="F41">
            <v>0.0016156871652780595</v>
          </cell>
          <cell r="G41">
            <v>2901.540545048409</v>
          </cell>
          <cell r="H41">
            <v>12373.16054504841</v>
          </cell>
        </row>
        <row r="42">
          <cell r="A42" t="str">
            <v>1.2.15</v>
          </cell>
          <cell r="B42" t="str">
            <v>SERVIÇOS COMPLEMENTARES</v>
          </cell>
          <cell r="E42">
            <v>8228.69</v>
          </cell>
          <cell r="F42">
            <v>0.0014036657741813877</v>
          </cell>
          <cell r="G42">
            <v>2520.780781707289</v>
          </cell>
          <cell r="H42">
            <v>10749.470781707289</v>
          </cell>
        </row>
        <row r="43">
          <cell r="A43" t="str">
            <v>1.3</v>
          </cell>
          <cell r="B43" t="str">
            <v>JUNTA C  (RAMPA DE ACESSO TRECHO C)</v>
          </cell>
          <cell r="E43">
            <v>575044.71</v>
          </cell>
          <cell r="F43">
            <v>0.09809223315631789</v>
          </cell>
          <cell r="G43">
            <v>176159.46810372503</v>
          </cell>
          <cell r="H43">
            <v>751204.178103725</v>
          </cell>
        </row>
        <row r="44">
          <cell r="A44" t="str">
            <v>1.3.1</v>
          </cell>
          <cell r="B44" t="str">
            <v>SERVIÇOS PRELIMINARES</v>
          </cell>
          <cell r="E44">
            <v>20011.55</v>
          </cell>
          <cell r="F44">
            <v>0.003413608706041854</v>
          </cell>
          <cell r="G44">
            <v>6130.34768015012</v>
          </cell>
          <cell r="H44">
            <v>26141.89768015012</v>
          </cell>
        </row>
        <row r="45">
          <cell r="A45" t="str">
            <v>1.3.2</v>
          </cell>
          <cell r="B45" t="str">
            <v>ESCAVAÇÕES E MOVIMENTO DE TERRA</v>
          </cell>
          <cell r="E45">
            <v>2322.94</v>
          </cell>
          <cell r="F45">
            <v>0.0003962515750960253</v>
          </cell>
          <cell r="G45">
            <v>711.610536921324</v>
          </cell>
          <cell r="H45">
            <v>3034.5505369213242</v>
          </cell>
        </row>
        <row r="46">
          <cell r="A46" t="str">
            <v>1.3.3</v>
          </cell>
          <cell r="B46" t="str">
            <v>INFRAESTRUTURA E SUPRAESTRUTURA</v>
          </cell>
          <cell r="E46">
            <v>256598.48</v>
          </cell>
          <cell r="F46">
            <v>0.04377106247567563</v>
          </cell>
          <cell r="G46">
            <v>78606.499576397</v>
          </cell>
          <cell r="H46">
            <v>335204.979576397</v>
          </cell>
        </row>
        <row r="47">
          <cell r="A47" t="str">
            <v>1.3.4</v>
          </cell>
          <cell r="B47" t="str">
            <v>IMPERMEABILIZAÇÕES / JUNTA DILATAÇÃO</v>
          </cell>
          <cell r="E47">
            <v>1806.6399999999999</v>
          </cell>
          <cell r="F47">
            <v>0.0003081801276104777</v>
          </cell>
          <cell r="G47">
            <v>553.4469510291013</v>
          </cell>
          <cell r="H47">
            <v>2360.0869510291013</v>
          </cell>
        </row>
        <row r="48">
          <cell r="A48" t="str">
            <v>1.3.5</v>
          </cell>
          <cell r="B48" t="str">
            <v>ESTRUTURA METALICA</v>
          </cell>
          <cell r="E48">
            <v>29026.290000000005</v>
          </cell>
          <cell r="F48">
            <v>0.0049513604017727576</v>
          </cell>
          <cell r="G48">
            <v>8891.927390175408</v>
          </cell>
          <cell r="H48">
            <v>37918.217390175414</v>
          </cell>
        </row>
        <row r="49">
          <cell r="A49" t="str">
            <v>1.3.6</v>
          </cell>
          <cell r="B49" t="str">
            <v>ALVENARIAS E DIVISÓRIAS</v>
          </cell>
          <cell r="E49">
            <v>11107.81</v>
          </cell>
          <cell r="F49">
            <v>0.0018947916039016852</v>
          </cell>
          <cell r="G49">
            <v>3402.7717625595374</v>
          </cell>
          <cell r="H49">
            <v>14510.581762559537</v>
          </cell>
        </row>
        <row r="50">
          <cell r="A50" t="str">
            <v>1.3.7</v>
          </cell>
          <cell r="B50" t="str">
            <v>COBERTURA E PROTEÇÕES</v>
          </cell>
          <cell r="E50">
            <v>48095.75000000001</v>
          </cell>
          <cell r="F50">
            <v>0.008204265582806557</v>
          </cell>
          <cell r="G50">
            <v>14733.674774696623</v>
          </cell>
          <cell r="H50">
            <v>62829.42477469663</v>
          </cell>
        </row>
        <row r="51">
          <cell r="A51" t="str">
            <v>1.3.8</v>
          </cell>
          <cell r="B51" t="str">
            <v>REVESTIMENTOS</v>
          </cell>
          <cell r="E51">
            <v>121701.22</v>
          </cell>
          <cell r="F51">
            <v>0.020760028290058245</v>
          </cell>
          <cell r="G51">
            <v>37282.00922459477</v>
          </cell>
          <cell r="H51">
            <v>158983.22922459478</v>
          </cell>
        </row>
        <row r="52">
          <cell r="A52" t="str">
            <v>1.3.9</v>
          </cell>
          <cell r="B52" t="str">
            <v>PAVIMENTAÇÃO</v>
          </cell>
          <cell r="E52">
            <v>8359.76</v>
          </cell>
          <cell r="F52">
            <v>0.001426023946991635</v>
          </cell>
          <cell r="G52">
            <v>2560.932827422752</v>
          </cell>
          <cell r="H52">
            <v>10920.692827422752</v>
          </cell>
        </row>
        <row r="53">
          <cell r="A53" t="str">
            <v>1.3.10</v>
          </cell>
          <cell r="B53" t="str">
            <v>PINTURAS</v>
          </cell>
          <cell r="E53">
            <v>24989.78</v>
          </cell>
          <cell r="F53">
            <v>0.00426280475875535</v>
          </cell>
          <cell r="G53">
            <v>7655.381009989825</v>
          </cell>
          <cell r="H53">
            <v>32645.161009989824</v>
          </cell>
        </row>
        <row r="54">
          <cell r="A54" t="str">
            <v>1.3.11</v>
          </cell>
          <cell r="B54" t="str">
            <v>INSTALAÇÕES ELÉTRICAS</v>
          </cell>
          <cell r="E54">
            <v>15589.99</v>
          </cell>
          <cell r="F54">
            <v>0.0026593704930955096</v>
          </cell>
          <cell r="G54">
            <v>4775.844901072809</v>
          </cell>
          <cell r="H54">
            <v>20365.83490107281</v>
          </cell>
        </row>
        <row r="55">
          <cell r="A55" t="str">
            <v>1.3.12</v>
          </cell>
          <cell r="B55" t="str">
            <v>INSTALAÇÕES HIDROSSANITÁRIAS</v>
          </cell>
          <cell r="E55">
            <v>15708.719999999998</v>
          </cell>
          <cell r="F55">
            <v>0.0026796236849606246</v>
          </cell>
          <cell r="G55">
            <v>4812.216705359045</v>
          </cell>
          <cell r="H55">
            <v>20520.936705359043</v>
          </cell>
        </row>
        <row r="56">
          <cell r="A56" t="str">
            <v>1.3.13</v>
          </cell>
          <cell r="B56" t="str">
            <v>INSTALAÇÕES DE COMBATE A INCÊNDIO</v>
          </cell>
          <cell r="E56">
            <v>2854.18</v>
          </cell>
          <cell r="F56">
            <v>0.00048687151652973104</v>
          </cell>
          <cell r="G56">
            <v>874.350849470974</v>
          </cell>
          <cell r="H56">
            <v>3728.530849470974</v>
          </cell>
        </row>
        <row r="57">
          <cell r="A57" t="str">
            <v>1.3.14</v>
          </cell>
          <cell r="B57" t="str">
            <v>INSTALAÇÕES SPDA</v>
          </cell>
          <cell r="E57">
            <v>11292.45</v>
          </cell>
          <cell r="F57">
            <v>0.0019262878503935148</v>
          </cell>
          <cell r="G57">
            <v>3459.334467380649</v>
          </cell>
          <cell r="H57">
            <v>14751.78446738065</v>
          </cell>
        </row>
        <row r="58">
          <cell r="A58" t="str">
            <v>1.3.15</v>
          </cell>
          <cell r="B58" t="str">
            <v>SERVIÇOS COMPLEMENTARES</v>
          </cell>
          <cell r="E58">
            <v>5579.15</v>
          </cell>
          <cell r="F58">
            <v>0.0009517021426283027</v>
          </cell>
          <cell r="G58">
            <v>1709.1194465051203</v>
          </cell>
          <cell r="H58">
            <v>7288.26944650512</v>
          </cell>
        </row>
        <row r="59">
          <cell r="A59" t="str">
            <v>1.4</v>
          </cell>
          <cell r="B59" t="str">
            <v>JUNTA D  (RAMPA DE ACESSO TRECHO D)</v>
          </cell>
          <cell r="E59">
            <v>982492.4600000001</v>
          </cell>
          <cell r="F59">
            <v>0.1675954543789201</v>
          </cell>
          <cell r="G59">
            <v>300977.2043108098</v>
          </cell>
          <cell r="H59">
            <v>1283469.66431081</v>
          </cell>
        </row>
        <row r="60">
          <cell r="A60" t="str">
            <v>1.4.1</v>
          </cell>
          <cell r="B60" t="str">
            <v>SERVIÇOS PRELIMINARES</v>
          </cell>
          <cell r="E60">
            <v>53321.649999999994</v>
          </cell>
          <cell r="F60">
            <v>0.009095709660696779</v>
          </cell>
          <cell r="G60">
            <v>16334.579449331843</v>
          </cell>
          <cell r="H60">
            <v>69656.22944933183</v>
          </cell>
        </row>
        <row r="61">
          <cell r="A61" t="str">
            <v>1.4.2</v>
          </cell>
          <cell r="B61" t="str">
            <v>ESCAVAÇÕES E MOVIMENTO DE TERRA</v>
          </cell>
          <cell r="E61">
            <v>7711.58</v>
          </cell>
          <cell r="F61">
            <v>0.001315456155337205</v>
          </cell>
          <cell r="G61">
            <v>2362.3690600324344</v>
          </cell>
          <cell r="H61">
            <v>10073.949060032435</v>
          </cell>
        </row>
        <row r="62">
          <cell r="A62" t="str">
            <v>1.4.3</v>
          </cell>
          <cell r="B62" t="str">
            <v>INFRAESTRUTURA E SUPRAESTRUTURA</v>
          </cell>
          <cell r="E62">
            <v>553748.39</v>
          </cell>
          <cell r="F62">
            <v>0.09445946591146914</v>
          </cell>
          <cell r="G62">
            <v>169635.54337486922</v>
          </cell>
          <cell r="H62">
            <v>723383.9333748692</v>
          </cell>
        </row>
        <row r="63">
          <cell r="A63" t="str">
            <v>1.4.4</v>
          </cell>
          <cell r="B63" t="str">
            <v>IMPERMEABILIZAÇÕES / JUNTA DILATAÇÃO</v>
          </cell>
          <cell r="E63">
            <v>4475.45</v>
          </cell>
          <cell r="F63">
            <v>0.0007634308728436836</v>
          </cell>
          <cell r="G63">
            <v>1371.0114671341228</v>
          </cell>
          <cell r="H63">
            <v>5846.461467134122</v>
          </cell>
        </row>
        <row r="64">
          <cell r="A64" t="str">
            <v>1.4.5</v>
          </cell>
          <cell r="B64" t="str">
            <v>ESTRUTURA METALICA</v>
          </cell>
          <cell r="E64">
            <v>60299.92999999999</v>
          </cell>
          <cell r="F64">
            <v>0.010286078090988172</v>
          </cell>
          <cell r="G64">
            <v>18472.309040964574</v>
          </cell>
          <cell r="H64">
            <v>78772.23904096457</v>
          </cell>
        </row>
        <row r="65">
          <cell r="A65" t="str">
            <v>1.4.6</v>
          </cell>
          <cell r="B65" t="str">
            <v>ALVENARIAS E DIVISÓRIAS</v>
          </cell>
          <cell r="E65">
            <v>12753.560000000001</v>
          </cell>
          <cell r="F65">
            <v>0.002175526805721054</v>
          </cell>
          <cell r="G65">
            <v>3906.931594986664</v>
          </cell>
          <cell r="H65">
            <v>16660.491594986666</v>
          </cell>
        </row>
        <row r="66">
          <cell r="A66" t="str">
            <v>1.4.7</v>
          </cell>
          <cell r="B66" t="str">
            <v>COBERTURA E PROTEÇÕES</v>
          </cell>
          <cell r="E66">
            <v>96878.15000000001</v>
          </cell>
          <cell r="F66">
            <v>0.016525661243893087</v>
          </cell>
          <cell r="G66">
            <v>29677.6982347562</v>
          </cell>
          <cell r="H66">
            <v>126555.84823475621</v>
          </cell>
        </row>
        <row r="67">
          <cell r="A67" t="str">
            <v>1.4.8</v>
          </cell>
          <cell r="B67" t="str">
            <v>REVESTIMENTOS</v>
          </cell>
          <cell r="E67">
            <v>39675.509999999995</v>
          </cell>
          <cell r="F67">
            <v>0.006767924841036833</v>
          </cell>
          <cell r="G67">
            <v>12154.21447550404</v>
          </cell>
          <cell r="H67">
            <v>51829.72447550404</v>
          </cell>
        </row>
        <row r="68">
          <cell r="A68" t="str">
            <v>1.4.9</v>
          </cell>
          <cell r="B68" t="str">
            <v>PAVIMENTAÇÃO</v>
          </cell>
          <cell r="E68">
            <v>16524.64</v>
          </cell>
          <cell r="F68">
            <v>0.002818804888587214</v>
          </cell>
          <cell r="G68">
            <v>5062.166023587172</v>
          </cell>
          <cell r="H68">
            <v>21586.80602358717</v>
          </cell>
        </row>
        <row r="69">
          <cell r="A69" t="str">
            <v>1.4.10</v>
          </cell>
          <cell r="B69" t="str">
            <v>PINTURAS</v>
          </cell>
          <cell r="E69">
            <v>33931.58</v>
          </cell>
          <cell r="F69">
            <v>0.0057881142089321255</v>
          </cell>
          <cell r="G69">
            <v>10394.61624595937</v>
          </cell>
          <cell r="H69">
            <v>44326.19624595937</v>
          </cell>
        </row>
        <row r="70">
          <cell r="A70" t="str">
            <v>1.4.11</v>
          </cell>
          <cell r="B70" t="str">
            <v>INSTALAÇÕES ELÉTRICAS</v>
          </cell>
          <cell r="E70">
            <v>32165.32</v>
          </cell>
          <cell r="F70">
            <v>0.005486822179422492</v>
          </cell>
          <cell r="G70">
            <v>9853.539323205163</v>
          </cell>
          <cell r="H70">
            <v>42018.859323205164</v>
          </cell>
        </row>
        <row r="71">
          <cell r="A71" t="str">
            <v>1.4.12</v>
          </cell>
          <cell r="B71" t="str">
            <v>INSTALAÇÕES HIDROSSANITÁRIAS</v>
          </cell>
          <cell r="E71">
            <v>37859.11</v>
          </cell>
          <cell r="F71">
            <v>0.006458079833845766</v>
          </cell>
          <cell r="G71">
            <v>11597.777641464465</v>
          </cell>
          <cell r="H71">
            <v>49456.88764146446</v>
          </cell>
        </row>
        <row r="72">
          <cell r="A72" t="str">
            <v>1.4.13</v>
          </cell>
          <cell r="B72" t="str">
            <v>INSTALAÇÕES DE COMBATE A INCÊNDIO</v>
          </cell>
          <cell r="E72">
            <v>2719.2200000000003</v>
          </cell>
          <cell r="F72">
            <v>0.0004638497800341869</v>
          </cell>
          <cell r="G72">
            <v>833.0071393179345</v>
          </cell>
          <cell r="H72">
            <v>3552.227139317935</v>
          </cell>
        </row>
        <row r="73">
          <cell r="A73" t="str">
            <v>1.4.14</v>
          </cell>
          <cell r="B73" t="str">
            <v>INSTALAÇÕES SPDA</v>
          </cell>
          <cell r="E73">
            <v>19400.120000000003</v>
          </cell>
          <cell r="F73">
            <v>0.003309309800103276</v>
          </cell>
          <cell r="G73">
            <v>5943.041925119942</v>
          </cell>
          <cell r="H73">
            <v>25343.161925119944</v>
          </cell>
        </row>
        <row r="74">
          <cell r="A74" t="str">
            <v>1.4.15</v>
          </cell>
          <cell r="B74" t="str">
            <v>SERVIÇOS COMPLEMENTARES</v>
          </cell>
          <cell r="E74">
            <v>11028.25</v>
          </cell>
          <cell r="F74">
            <v>0.0018812201060090837</v>
          </cell>
          <cell r="G74">
            <v>3378.3993145766103</v>
          </cell>
          <cell r="H74">
            <v>14406.64931457661</v>
          </cell>
        </row>
        <row r="75">
          <cell r="A75" t="str">
            <v>1.5</v>
          </cell>
          <cell r="B75" t="str">
            <v>JUNTA E  (RAMPA DE ACESSO TRECHO E)</v>
          </cell>
          <cell r="E75">
            <v>774271.0400000002</v>
          </cell>
          <cell r="F75">
            <v>0.13207664388715923</v>
          </cell>
          <cell r="G75">
            <v>237190.55614739598</v>
          </cell>
          <cell r="H75">
            <v>1011461.5961473961</v>
          </cell>
        </row>
        <row r="76">
          <cell r="A76" t="str">
            <v>1.5.1</v>
          </cell>
          <cell r="B76" t="str">
            <v>SERVIÇOS PRELIMINARES</v>
          </cell>
          <cell r="E76">
            <v>23471.06</v>
          </cell>
          <cell r="F76">
            <v>0.0040037385787722955</v>
          </cell>
          <cell r="G76">
            <v>7190.135607769727</v>
          </cell>
          <cell r="H76">
            <v>30661.19560776973</v>
          </cell>
        </row>
        <row r="77">
          <cell r="A77" t="str">
            <v>1.5.2</v>
          </cell>
          <cell r="B77" t="str">
            <v>ESCAVAÇÕES E MOVIMENTO DE TERRA</v>
          </cell>
          <cell r="E77">
            <v>12438.43</v>
          </cell>
          <cell r="F77">
            <v>0.002121771323935037</v>
          </cell>
          <cell r="G77">
            <v>3810.3945219240723</v>
          </cell>
          <cell r="H77">
            <v>16248.824521924073</v>
          </cell>
        </row>
        <row r="78">
          <cell r="A78" t="str">
            <v>1.5.3</v>
          </cell>
          <cell r="B78" t="str">
            <v>INFRAESTRUTURA E SUPRAESTRUTURA</v>
          </cell>
          <cell r="E78">
            <v>443319.43000000005</v>
          </cell>
          <cell r="F78">
            <v>0.075622281422754</v>
          </cell>
          <cell r="G78">
            <v>135806.68360351768</v>
          </cell>
          <cell r="H78">
            <v>579126.1136035178</v>
          </cell>
        </row>
        <row r="79">
          <cell r="A79" t="str">
            <v>1.5.4</v>
          </cell>
          <cell r="B79" t="str">
            <v>IMPERMEABILIZAÇÕES / JUNTA DILATAÇÃO</v>
          </cell>
          <cell r="E79">
            <v>4357.79</v>
          </cell>
          <cell r="F79">
            <v>0.0007433602036375059</v>
          </cell>
          <cell r="G79">
            <v>1334.9674471533385</v>
          </cell>
          <cell r="H79">
            <v>5692.757447153339</v>
          </cell>
        </row>
        <row r="80">
          <cell r="A80" t="str">
            <v>1.5.5</v>
          </cell>
          <cell r="B80" t="str">
            <v>ESTRUTURA METALICA</v>
          </cell>
          <cell r="E80">
            <v>37324.7</v>
          </cell>
          <cell r="F80">
            <v>0.006366919147712216</v>
          </cell>
          <cell r="G80">
            <v>11434.066229617356</v>
          </cell>
          <cell r="H80">
            <v>48758.76622961735</v>
          </cell>
        </row>
        <row r="81">
          <cell r="A81" t="str">
            <v>1.5.6</v>
          </cell>
          <cell r="B81" t="str">
            <v>ALVENARIAS E DIVISÓRIAS</v>
          </cell>
          <cell r="E81">
            <v>7723.219999999999</v>
          </cell>
          <cell r="F81">
            <v>0.0013174417289353682</v>
          </cell>
          <cell r="G81">
            <v>2365.934863130992</v>
          </cell>
          <cell r="H81">
            <v>10089.154863130992</v>
          </cell>
        </row>
        <row r="82">
          <cell r="A82" t="str">
            <v>1.5.7</v>
          </cell>
          <cell r="B82" t="str">
            <v>COBERTURA E PROTEÇÕES</v>
          </cell>
          <cell r="E82">
            <v>68535.83</v>
          </cell>
          <cell r="F82">
            <v>0.011690973760843338</v>
          </cell>
          <cell r="G82">
            <v>20995.29853747776</v>
          </cell>
          <cell r="H82">
            <v>89531.12853747777</v>
          </cell>
        </row>
        <row r="83">
          <cell r="A83" t="str">
            <v>1.5.8</v>
          </cell>
          <cell r="B83" t="str">
            <v>REVESTIMENTOS</v>
          </cell>
          <cell r="E83">
            <v>73293.79999999999</v>
          </cell>
          <cell r="F83">
            <v>0.012502597438923542</v>
          </cell>
          <cell r="G83">
            <v>22452.857314870005</v>
          </cell>
          <cell r="H83">
            <v>95746.65731487</v>
          </cell>
        </row>
        <row r="84">
          <cell r="A84" t="str">
            <v>1.5.9</v>
          </cell>
          <cell r="B84" t="str">
            <v>PAVIMENTAÇÃO</v>
          </cell>
          <cell r="E84">
            <v>12472.4</v>
          </cell>
          <cell r="F84">
            <v>0.002127565991901498</v>
          </cell>
          <cell r="G84">
            <v>3820.8009077709803</v>
          </cell>
          <cell r="H84">
            <v>16293.20090777098</v>
          </cell>
        </row>
        <row r="85">
          <cell r="A85" t="str">
            <v>1.5.10</v>
          </cell>
          <cell r="B85" t="str">
            <v>PINTURAS</v>
          </cell>
          <cell r="E85">
            <v>22413.09</v>
          </cell>
          <cell r="F85">
            <v>0.00382326802038321</v>
          </cell>
          <cell r="G85">
            <v>6866.036578200882</v>
          </cell>
          <cell r="H85">
            <v>29279.12657820088</v>
          </cell>
        </row>
        <row r="86">
          <cell r="A86" t="str">
            <v>1.5.11</v>
          </cell>
          <cell r="B86" t="str">
            <v>INSTALAÇÕES ELÉTRICAS</v>
          </cell>
          <cell r="E86">
            <v>19633.79</v>
          </cell>
          <cell r="F86">
            <v>0.0033491696783406336</v>
          </cell>
          <cell r="G86">
            <v>6014.624503302075</v>
          </cell>
          <cell r="H86">
            <v>25648.414503302076</v>
          </cell>
        </row>
        <row r="87">
          <cell r="A87" t="str">
            <v>1.5.12</v>
          </cell>
          <cell r="B87" t="str">
            <v>INSTALAÇÕES HIDROSSANITÁRIAS</v>
          </cell>
          <cell r="E87">
            <v>25148.3</v>
          </cell>
          <cell r="F87">
            <v>0.004289845405386008</v>
          </cell>
          <cell r="G87">
            <v>7703.942101672248</v>
          </cell>
          <cell r="H87">
            <v>32852.24210167225</v>
          </cell>
        </row>
        <row r="88">
          <cell r="A88" t="str">
            <v>1.5.13</v>
          </cell>
          <cell r="B88" t="str">
            <v>INSTALAÇÕES DE COMBATE A INCÊNDIO</v>
          </cell>
          <cell r="E88">
            <v>2768.34</v>
          </cell>
          <cell r="F88">
            <v>0.0004722287641528971</v>
          </cell>
          <cell r="G88">
            <v>848.0545833214711</v>
          </cell>
          <cell r="H88">
            <v>3616.394583321471</v>
          </cell>
        </row>
        <row r="89">
          <cell r="A89" t="str">
            <v>1.5.14</v>
          </cell>
          <cell r="B89" t="str">
            <v>INSTALAÇÕES SPDA</v>
          </cell>
          <cell r="E89">
            <v>13047.010000000002</v>
          </cell>
          <cell r="F89">
            <v>0.0022255840713895298</v>
          </cell>
          <cell r="G89">
            <v>3996.8272066079558</v>
          </cell>
          <cell r="H89">
            <v>17043.837206607957</v>
          </cell>
        </row>
        <row r="90">
          <cell r="A90" t="str">
            <v>1.5.15</v>
          </cell>
          <cell r="B90" t="str">
            <v>SERVIÇOS COMPLEMENTARES</v>
          </cell>
          <cell r="E90">
            <v>8323.85</v>
          </cell>
          <cell r="F90">
            <v>0.0014198983500921464</v>
          </cell>
          <cell r="G90">
            <v>2549.9321410594175</v>
          </cell>
          <cell r="H90">
            <v>10873.782141059419</v>
          </cell>
        </row>
        <row r="91">
          <cell r="A91" t="str">
            <v>1.6</v>
          </cell>
          <cell r="B91" t="str">
            <v>JUNTA F  (RAMPA DE ACESSO TRECHO F)</v>
          </cell>
          <cell r="E91">
            <v>597771.5</v>
          </cell>
          <cell r="F91">
            <v>0.10196901272633546</v>
          </cell>
          <cell r="G91">
            <v>183121.603688113</v>
          </cell>
          <cell r="H91">
            <v>780893.103688113</v>
          </cell>
        </row>
        <row r="92">
          <cell r="A92" t="str">
            <v>1.6.1</v>
          </cell>
          <cell r="B92" t="str">
            <v>SERVIÇOS PRELIMINARES</v>
          </cell>
          <cell r="E92">
            <v>18935</v>
          </cell>
          <cell r="F92">
            <v>0.0032299687355003743</v>
          </cell>
          <cell r="G92">
            <v>5800.556844604367</v>
          </cell>
          <cell r="H92">
            <v>24735.55684460437</v>
          </cell>
        </row>
        <row r="93">
          <cell r="A93" t="str">
            <v>1.6.2</v>
          </cell>
          <cell r="B93" t="str">
            <v>ESCAVAÇÕES E MOVIMENTO DE TERRA</v>
          </cell>
          <cell r="E93">
            <v>20807.129999999997</v>
          </cell>
          <cell r="F93">
            <v>0.003549320273329384</v>
          </cell>
          <cell r="G93">
            <v>6374.066033169942</v>
          </cell>
          <cell r="H93">
            <v>27181.196033169937</v>
          </cell>
        </row>
        <row r="94">
          <cell r="A94" t="str">
            <v>1.6.3</v>
          </cell>
          <cell r="B94" t="str">
            <v>INFRAESTRUTURA E SUPRAESTRUTURA</v>
          </cell>
          <cell r="E94">
            <v>318204.2</v>
          </cell>
          <cell r="F94">
            <v>0.054279884737518255</v>
          </cell>
          <cell r="G94">
            <v>97478.82494279678</v>
          </cell>
          <cell r="H94">
            <v>415683.0249427968</v>
          </cell>
        </row>
        <row r="95">
          <cell r="A95" t="str">
            <v>1.6.4</v>
          </cell>
          <cell r="B95" t="str">
            <v>IMPERMEABILIZAÇÕES / JUNTA DILATAÇÃO</v>
          </cell>
          <cell r="E95">
            <v>2544.67</v>
          </cell>
          <cell r="F95">
            <v>0.00043407470515794756</v>
          </cell>
          <cell r="G95">
            <v>779.5354098631843</v>
          </cell>
          <cell r="H95">
            <v>3324.2054098631843</v>
          </cell>
        </row>
        <row r="96">
          <cell r="A96" t="str">
            <v>1.6.5</v>
          </cell>
          <cell r="B96" t="str">
            <v>ESTRUTURA METALICA</v>
          </cell>
          <cell r="E96">
            <v>27256.3</v>
          </cell>
          <cell r="F96">
            <v>0.004649432101685706</v>
          </cell>
          <cell r="G96">
            <v>8349.707817459204</v>
          </cell>
          <cell r="H96">
            <v>35606.007817459205</v>
          </cell>
        </row>
        <row r="97">
          <cell r="A97" t="str">
            <v>1.6.6</v>
          </cell>
          <cell r="B97" t="str">
            <v>ALVENARIAS E DIVISÓRIAS</v>
          </cell>
          <cell r="E97">
            <v>6742.280000000001</v>
          </cell>
          <cell r="F97">
            <v>0.0011501110961705553</v>
          </cell>
          <cell r="G97">
            <v>2065.4332401499414</v>
          </cell>
          <cell r="H97">
            <v>8807.713240149942</v>
          </cell>
        </row>
        <row r="98">
          <cell r="A98" t="str">
            <v>1.6.7</v>
          </cell>
          <cell r="B98" t="str">
            <v>COBERTURA E PROTEÇÕES</v>
          </cell>
          <cell r="E98">
            <v>44866.27</v>
          </cell>
          <cell r="F98">
            <v>0.007653374670109235</v>
          </cell>
          <cell r="G98">
            <v>13744.354345939666</v>
          </cell>
          <cell r="H98">
            <v>58610.624345939665</v>
          </cell>
        </row>
        <row r="99">
          <cell r="A99" t="str">
            <v>1.6.8</v>
          </cell>
          <cell r="B99" t="str">
            <v>REVESTIMENTOS</v>
          </cell>
          <cell r="E99">
            <v>13092.970000000001</v>
          </cell>
          <cell r="F99">
            <v>0.002233424016627639</v>
          </cell>
          <cell r="G99">
            <v>4010.9066147187564</v>
          </cell>
          <cell r="H99">
            <v>17103.876614718756</v>
          </cell>
        </row>
        <row r="100">
          <cell r="A100" t="str">
            <v>1.6.9</v>
          </cell>
          <cell r="B100" t="str">
            <v>PAVIMENTAÇÃO</v>
          </cell>
          <cell r="E100">
            <v>8220.8</v>
          </cell>
          <cell r="F100">
            <v>0.0014023198827991272</v>
          </cell>
          <cell r="G100">
            <v>2518.363755380173</v>
          </cell>
          <cell r="H100">
            <v>10739.163755380172</v>
          </cell>
        </row>
        <row r="101">
          <cell r="A101" t="str">
            <v>1.6.10</v>
          </cell>
          <cell r="B101" t="str">
            <v>PINTURAS</v>
          </cell>
          <cell r="E101">
            <v>79027.6</v>
          </cell>
          <cell r="F101">
            <v>0.013480680076135695</v>
          </cell>
          <cell r="G101">
            <v>24209.352315429423</v>
          </cell>
          <cell r="H101">
            <v>103236.95231542943</v>
          </cell>
        </row>
        <row r="102">
          <cell r="A102" t="str">
            <v>1.6.11</v>
          </cell>
          <cell r="B102" t="str">
            <v>INSTALAÇÕES ELÉTRICAS</v>
          </cell>
          <cell r="E102">
            <v>15219.579999999998</v>
          </cell>
          <cell r="F102">
            <v>0.0025961852425374584</v>
          </cell>
          <cell r="G102">
            <v>4662.37332669679</v>
          </cell>
          <cell r="H102">
            <v>19881.95332669679</v>
          </cell>
        </row>
        <row r="103">
          <cell r="A103" t="str">
            <v>1.6.12</v>
          </cell>
          <cell r="B103" t="str">
            <v>INSTALAÇÕES HIDROSSANITÁRIAS</v>
          </cell>
          <cell r="E103">
            <v>25249.149999999994</v>
          </cell>
          <cell r="F103">
            <v>0.004307048592445696</v>
          </cell>
          <cell r="G103">
            <v>7734.836538312244</v>
          </cell>
          <cell r="H103">
            <v>32983.98653831224</v>
          </cell>
        </row>
        <row r="104">
          <cell r="A104" t="str">
            <v>1.6.13</v>
          </cell>
          <cell r="B104" t="str">
            <v>INSTALAÇÕES DE COMBATE A INCÊNDIO</v>
          </cell>
          <cell r="E104">
            <v>3540.42</v>
          </cell>
          <cell r="F104">
            <v>0.0006039316562207677</v>
          </cell>
          <cell r="G104">
            <v>1084.5739352402531</v>
          </cell>
          <cell r="H104">
            <v>4624.993935240253</v>
          </cell>
        </row>
        <row r="105">
          <cell r="A105" t="str">
            <v>1.6.14</v>
          </cell>
          <cell r="B105" t="str">
            <v>INSTALAÇÕES SPDA</v>
          </cell>
          <cell r="E105">
            <v>8578.72</v>
          </cell>
          <cell r="F105">
            <v>0.00146337456512341</v>
          </cell>
          <cell r="G105">
            <v>2628.0091372561064</v>
          </cell>
          <cell r="H105">
            <v>11206.729137256105</v>
          </cell>
        </row>
        <row r="106">
          <cell r="A106" t="str">
            <v>1.6.15</v>
          </cell>
          <cell r="B106" t="str">
            <v>SERVIÇOS COMPLEMENTARES</v>
          </cell>
          <cell r="E106">
            <v>5486.41</v>
          </cell>
          <cell r="F106">
            <v>0.0009358823749742069</v>
          </cell>
          <cell r="G106">
            <v>1680.7094310961631</v>
          </cell>
          <cell r="H106">
            <v>7167.119431096163</v>
          </cell>
        </row>
        <row r="107">
          <cell r="A107">
            <v>2</v>
          </cell>
          <cell r="B107" t="str">
            <v>QUADRA POLIESPORTIVA</v>
          </cell>
          <cell r="C107" t="e">
            <v>#N/A</v>
          </cell>
          <cell r="D107" t="e">
            <v>#N/A</v>
          </cell>
          <cell r="E107">
            <v>721410.583225</v>
          </cell>
          <cell r="F107">
            <v>0.12305960545422977</v>
          </cell>
          <cell r="G107">
            <v>220997.2588484712</v>
          </cell>
          <cell r="H107">
            <v>942407.8420734712</v>
          </cell>
        </row>
        <row r="108">
          <cell r="A108">
            <v>3</v>
          </cell>
          <cell r="B108" t="str">
            <v>SISTEMA DE ESGOTO</v>
          </cell>
          <cell r="C108" t="e">
            <v>#N/A</v>
          </cell>
          <cell r="D108" t="e">
            <v>#N/A</v>
          </cell>
          <cell r="E108">
            <v>85534.0724</v>
          </cell>
          <cell r="F108">
            <v>0.014590566658147635</v>
          </cell>
          <cell r="G108">
            <v>26202.54814400346</v>
          </cell>
          <cell r="H108">
            <v>111736.62054400347</v>
          </cell>
        </row>
        <row r="109">
          <cell r="A109">
            <v>4</v>
          </cell>
          <cell r="B109" t="str">
            <v>FECHAMENTO DO TERRENO</v>
          </cell>
          <cell r="C109" t="e">
            <v>#N/A</v>
          </cell>
          <cell r="D109" t="e">
            <v>#N/A</v>
          </cell>
          <cell r="E109">
            <v>315667.21002008615</v>
          </cell>
          <cell r="F109">
            <v>0.05384712010496481</v>
          </cell>
          <cell r="G109">
            <v>96701.64223391471</v>
          </cell>
          <cell r="H109">
            <v>412368.85225400084</v>
          </cell>
        </row>
        <row r="110">
          <cell r="A110">
            <v>5</v>
          </cell>
          <cell r="B110" t="str">
            <v>SUBESTAÇÃO E IMPLANTAÇÃO</v>
          </cell>
          <cell r="E110">
            <v>391648.36</v>
          </cell>
          <cell r="F110">
            <v>0.06680813087457065</v>
          </cell>
          <cell r="G110">
            <v>119977.74361109456</v>
          </cell>
          <cell r="H110">
            <v>511626.1036110945</v>
          </cell>
        </row>
        <row r="111">
          <cell r="A111">
            <v>6</v>
          </cell>
          <cell r="B111" t="str">
            <v>ADMINISTRAÇÃO DO CANTEIRO DE OBRA</v>
          </cell>
          <cell r="C111" t="e">
            <v>#N/A</v>
          </cell>
          <cell r="D111" t="e">
            <v>#N/A</v>
          </cell>
          <cell r="E111">
            <v>168423.2</v>
          </cell>
          <cell r="F111">
            <v>0.028729953542800456</v>
          </cell>
          <cell r="G111">
            <v>51594.84264854346</v>
          </cell>
          <cell r="H111">
            <v>220018.0426485435</v>
          </cell>
        </row>
        <row r="112">
          <cell r="B112" t="str">
            <v>VALOR DA OBRA.................................................................................:</v>
          </cell>
          <cell r="C112" t="e">
            <v>#N/A</v>
          </cell>
          <cell r="D112" t="e">
            <v>#N/A</v>
          </cell>
          <cell r="E112">
            <v>5862285.845645086</v>
          </cell>
          <cell r="F112">
            <v>1</v>
          </cell>
          <cell r="G112">
            <v>2560762.7594461027</v>
          </cell>
          <cell r="H112">
            <v>7658141.260854167</v>
          </cell>
        </row>
        <row r="113">
          <cell r="A113">
            <v>0.30634047238470385</v>
          </cell>
          <cell r="B113" t="str">
            <v>BONIFICAÇÃO E DESPESAS INDIRETAS - B.D.I. .................................:</v>
          </cell>
          <cell r="C113" t="e">
            <v>#N/A</v>
          </cell>
          <cell r="D113" t="e">
            <v>#N/A</v>
          </cell>
          <cell r="E113">
            <v>1795855.4152090787</v>
          </cell>
        </row>
        <row r="114">
          <cell r="B114" t="str">
            <v>VALOR TOTAL DA OBRA.....................................................................:</v>
          </cell>
          <cell r="C114" t="e">
            <v>#N/A</v>
          </cell>
          <cell r="D114" t="e">
            <v>#N/A</v>
          </cell>
          <cell r="E114">
            <v>7658141.260854164</v>
          </cell>
        </row>
        <row r="118">
          <cell r="B118" t="str">
            <v>________________________________________</v>
          </cell>
        </row>
        <row r="119">
          <cell r="B119" t="str">
            <v>Engº. Civil RICARDO DE ALCANTARA FERREIRA</v>
          </cell>
        </row>
        <row r="120">
          <cell r="B120" t="str">
            <v>CREA: 4861/D</v>
          </cell>
        </row>
        <row r="121">
          <cell r="B121" t="str">
            <v>C.P.F.: 371.154.131-34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54"/>
  <sheetViews>
    <sheetView showGridLines="0" view="pageBreakPreview" zoomScaleSheetLayoutView="100" zoomScalePageLayoutView="0" workbookViewId="0" topLeftCell="A1">
      <selection activeCell="C42" sqref="C42"/>
    </sheetView>
  </sheetViews>
  <sheetFormatPr defaultColWidth="9.140625" defaultRowHeight="15"/>
  <cols>
    <col min="1" max="16384" width="9.140625" style="133" customWidth="1"/>
  </cols>
  <sheetData>
    <row r="1" spans="1:10" ht="12.75" customHeight="1">
      <c r="A1" s="23"/>
      <c r="B1" s="24"/>
      <c r="C1" s="24"/>
      <c r="D1" s="24"/>
      <c r="E1" s="24"/>
      <c r="F1" s="24"/>
      <c r="G1" s="24"/>
      <c r="H1" s="24"/>
      <c r="I1" s="24"/>
      <c r="J1" s="25"/>
    </row>
    <row r="2" spans="1:10" ht="12.75" customHeight="1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ht="12.75" customHeight="1">
      <c r="A3" s="26"/>
      <c r="B3" s="27"/>
      <c r="C3" s="27"/>
      <c r="D3" s="27"/>
      <c r="E3" s="29"/>
      <c r="F3" s="29"/>
      <c r="G3" s="27"/>
      <c r="H3" s="27"/>
      <c r="I3" s="27"/>
      <c r="J3" s="28"/>
    </row>
    <row r="4" spans="1:10" ht="12.75" customHeight="1">
      <c r="A4" s="26"/>
      <c r="B4" s="27"/>
      <c r="C4" s="29"/>
      <c r="D4" s="27"/>
      <c r="E4" s="27"/>
      <c r="F4" s="27"/>
      <c r="G4" s="27"/>
      <c r="H4" s="29"/>
      <c r="I4" s="27"/>
      <c r="J4" s="28"/>
    </row>
    <row r="5" spans="1:10" ht="12.75" customHeight="1">
      <c r="A5" s="26"/>
      <c r="B5" s="27"/>
      <c r="C5" s="27"/>
      <c r="D5" s="27"/>
      <c r="E5" s="27"/>
      <c r="F5" s="27"/>
      <c r="G5" s="27"/>
      <c r="H5" s="27"/>
      <c r="I5" s="27"/>
      <c r="J5" s="28"/>
    </row>
    <row r="6" spans="1:10" ht="12.75" customHeight="1">
      <c r="A6" s="26"/>
      <c r="B6" s="27"/>
      <c r="C6" s="27"/>
      <c r="D6" s="27"/>
      <c r="E6" s="27"/>
      <c r="F6" s="27"/>
      <c r="G6" s="27"/>
      <c r="H6" s="27"/>
      <c r="I6" s="27"/>
      <c r="J6" s="28"/>
    </row>
    <row r="7" spans="1:10" ht="12.75" customHeight="1">
      <c r="A7" s="26"/>
      <c r="B7" s="27"/>
      <c r="C7" s="27"/>
      <c r="D7" s="27"/>
      <c r="E7" s="27"/>
      <c r="F7" s="27"/>
      <c r="G7" s="27"/>
      <c r="H7" s="27"/>
      <c r="I7" s="27"/>
      <c r="J7" s="28"/>
    </row>
    <row r="8" spans="1:10" ht="12.75" customHeight="1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 ht="12.75" customHeight="1">
      <c r="A9" s="26"/>
      <c r="B9" s="27"/>
      <c r="C9" s="27"/>
      <c r="D9" s="27"/>
      <c r="E9" s="27"/>
      <c r="F9" s="27"/>
      <c r="G9" s="27"/>
      <c r="H9" s="27"/>
      <c r="I9" s="27"/>
      <c r="J9" s="28"/>
    </row>
    <row r="10" spans="1:10" ht="12.75" customHeight="1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0" ht="12.75" customHeight="1">
      <c r="A11" s="26"/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12.75" customHeight="1">
      <c r="A12" s="26"/>
      <c r="B12" s="27"/>
      <c r="C12" s="27"/>
      <c r="D12" s="27"/>
      <c r="E12" s="27"/>
      <c r="F12" s="27"/>
      <c r="G12" s="27"/>
      <c r="H12" s="27"/>
      <c r="I12" s="27"/>
      <c r="J12" s="28"/>
    </row>
    <row r="13" spans="1:10" ht="12.75" customHeight="1">
      <c r="A13" s="26"/>
      <c r="B13" s="27"/>
      <c r="C13" s="27"/>
      <c r="D13" s="27"/>
      <c r="E13" s="27"/>
      <c r="F13" s="27"/>
      <c r="G13" s="27"/>
      <c r="H13" s="27"/>
      <c r="I13" s="27"/>
      <c r="J13" s="28"/>
    </row>
    <row r="14" spans="1:10" ht="12.75" customHeight="1">
      <c r="A14" s="26"/>
      <c r="B14" s="27"/>
      <c r="C14" s="29"/>
      <c r="D14" s="27"/>
      <c r="E14" s="27"/>
      <c r="F14" s="27"/>
      <c r="G14" s="27"/>
      <c r="H14" s="29"/>
      <c r="I14" s="27"/>
      <c r="J14" s="28"/>
    </row>
    <row r="15" spans="1:10" ht="12.75" customHeight="1">
      <c r="A15" s="26"/>
      <c r="B15" s="27"/>
      <c r="C15" s="27"/>
      <c r="D15" s="27"/>
      <c r="E15" s="29"/>
      <c r="F15" s="29"/>
      <c r="G15" s="27"/>
      <c r="H15" s="27"/>
      <c r="I15" s="27"/>
      <c r="J15" s="28"/>
    </row>
    <row r="16" spans="1:10" ht="12.75" customHeight="1">
      <c r="A16" s="26"/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12.75">
      <c r="A17" s="30"/>
      <c r="B17" s="31"/>
      <c r="C17" s="31"/>
      <c r="D17" s="31"/>
      <c r="E17" s="31"/>
      <c r="F17" s="31"/>
      <c r="G17" s="31"/>
      <c r="H17" s="31"/>
      <c r="I17" s="31"/>
      <c r="J17" s="32"/>
    </row>
    <row r="18" spans="1:10" ht="12.75">
      <c r="A18" s="30"/>
      <c r="B18" s="31"/>
      <c r="C18" s="31"/>
      <c r="D18" s="31"/>
      <c r="E18" s="31"/>
      <c r="F18" s="31"/>
      <c r="G18" s="31"/>
      <c r="H18" s="31"/>
      <c r="I18" s="31"/>
      <c r="J18" s="32"/>
    </row>
    <row r="19" spans="1:10" s="134" customFormat="1" ht="45.75" customHeight="1">
      <c r="A19" s="394" t="s">
        <v>58</v>
      </c>
      <c r="B19" s="395"/>
      <c r="C19" s="395"/>
      <c r="D19" s="395"/>
      <c r="E19" s="395"/>
      <c r="F19" s="395"/>
      <c r="G19" s="395"/>
      <c r="H19" s="395"/>
      <c r="I19" s="395"/>
      <c r="J19" s="396"/>
    </row>
    <row r="20" spans="1:10" s="134" customFormat="1" ht="19.5" customHeight="1">
      <c r="A20" s="33"/>
      <c r="B20" s="34"/>
      <c r="C20" s="35"/>
      <c r="D20" s="35"/>
      <c r="E20" s="35"/>
      <c r="F20" s="35"/>
      <c r="G20" s="35"/>
      <c r="H20" s="35"/>
      <c r="I20" s="35"/>
      <c r="J20" s="36"/>
    </row>
    <row r="21" spans="1:10" s="134" customFormat="1" ht="24.75" customHeight="1">
      <c r="A21" s="394" t="s">
        <v>63</v>
      </c>
      <c r="B21" s="395"/>
      <c r="C21" s="395"/>
      <c r="D21" s="395"/>
      <c r="E21" s="395"/>
      <c r="F21" s="395"/>
      <c r="G21" s="395"/>
      <c r="H21" s="395"/>
      <c r="I21" s="395"/>
      <c r="J21" s="396"/>
    </row>
    <row r="22" spans="1:10" s="134" customFormat="1" ht="19.5" customHeight="1">
      <c r="A22" s="37"/>
      <c r="B22" s="38"/>
      <c r="C22" s="38"/>
      <c r="D22" s="38"/>
      <c r="E22" s="38"/>
      <c r="F22" s="38"/>
      <c r="G22" s="38"/>
      <c r="H22" s="38"/>
      <c r="I22" s="38"/>
      <c r="J22" s="39"/>
    </row>
    <row r="23" spans="1:10" s="134" customFormat="1" ht="99.75" customHeight="1">
      <c r="A23" s="397" t="s">
        <v>175</v>
      </c>
      <c r="B23" s="398"/>
      <c r="C23" s="398"/>
      <c r="D23" s="398"/>
      <c r="E23" s="398"/>
      <c r="F23" s="398"/>
      <c r="G23" s="398"/>
      <c r="H23" s="398"/>
      <c r="I23" s="398"/>
      <c r="J23" s="399"/>
    </row>
    <row r="24" spans="1:10" s="134" customFormat="1" ht="12.75" customHeight="1">
      <c r="A24" s="37"/>
      <c r="B24" s="38"/>
      <c r="C24" s="38"/>
      <c r="D24" s="38"/>
      <c r="E24" s="38"/>
      <c r="F24" s="38"/>
      <c r="G24" s="38"/>
      <c r="H24" s="38"/>
      <c r="I24" s="38"/>
      <c r="J24" s="39"/>
    </row>
    <row r="25" spans="1:10" s="134" customFormat="1" ht="13.5" customHeight="1">
      <c r="A25" s="37"/>
      <c r="B25" s="38"/>
      <c r="C25" s="38"/>
      <c r="D25" s="38"/>
      <c r="E25" s="38"/>
      <c r="F25" s="38"/>
      <c r="G25" s="38"/>
      <c r="H25" s="38"/>
      <c r="I25" s="38"/>
      <c r="J25" s="39"/>
    </row>
    <row r="26" spans="1:10" s="134" customFormat="1" ht="21" customHeight="1">
      <c r="A26" s="400" t="s">
        <v>59</v>
      </c>
      <c r="B26" s="401"/>
      <c r="C26" s="401"/>
      <c r="D26" s="401"/>
      <c r="E26" s="401"/>
      <c r="F26" s="401"/>
      <c r="G26" s="401"/>
      <c r="H26" s="401"/>
      <c r="I26" s="401"/>
      <c r="J26" s="402"/>
    </row>
    <row r="27" spans="1:10" s="134" customFormat="1" ht="12.75" customHeight="1">
      <c r="A27" s="37"/>
      <c r="B27" s="38"/>
      <c r="C27" s="38"/>
      <c r="D27" s="38"/>
      <c r="E27" s="38"/>
      <c r="F27" s="38"/>
      <c r="G27" s="38"/>
      <c r="H27" s="38"/>
      <c r="I27" s="38"/>
      <c r="J27" s="39"/>
    </row>
    <row r="28" spans="1:10" s="134" customFormat="1" ht="12.75" customHeight="1">
      <c r="A28" s="37"/>
      <c r="B28" s="38"/>
      <c r="C28" s="38"/>
      <c r="D28" s="38"/>
      <c r="E28" s="38"/>
      <c r="F28" s="38"/>
      <c r="G28" s="38"/>
      <c r="H28" s="38"/>
      <c r="I28" s="38"/>
      <c r="J28" s="39"/>
    </row>
    <row r="29" spans="1:10" s="134" customFormat="1" ht="12.75" customHeight="1">
      <c r="A29" s="37"/>
      <c r="B29" s="38"/>
      <c r="C29" s="38"/>
      <c r="D29" s="38"/>
      <c r="E29" s="38"/>
      <c r="F29" s="38"/>
      <c r="G29" s="38"/>
      <c r="H29" s="38"/>
      <c r="I29" s="38"/>
      <c r="J29" s="39"/>
    </row>
    <row r="30" spans="1:10" s="134" customFormat="1" ht="12" customHeight="1">
      <c r="A30" s="33"/>
      <c r="B30" s="35"/>
      <c r="C30" s="35"/>
      <c r="D30" s="35"/>
      <c r="E30" s="35"/>
      <c r="F30" s="35"/>
      <c r="G30" s="35"/>
      <c r="H30" s="35"/>
      <c r="I30" s="35"/>
      <c r="J30" s="36"/>
    </row>
    <row r="31" spans="1:10" s="134" customFormat="1" ht="39.75" customHeight="1">
      <c r="A31" s="403" t="s">
        <v>241</v>
      </c>
      <c r="B31" s="404"/>
      <c r="C31" s="404"/>
      <c r="D31" s="404"/>
      <c r="E31" s="404"/>
      <c r="F31" s="404"/>
      <c r="G31" s="404"/>
      <c r="H31" s="404"/>
      <c r="I31" s="404"/>
      <c r="J31" s="405"/>
    </row>
    <row r="32" spans="1:10" ht="19.5" customHeight="1">
      <c r="A32" s="406"/>
      <c r="B32" s="407"/>
      <c r="C32" s="407"/>
      <c r="D32" s="407"/>
      <c r="E32" s="407"/>
      <c r="F32" s="407"/>
      <c r="G32" s="407"/>
      <c r="H32" s="407"/>
      <c r="I32" s="407"/>
      <c r="J32" s="408"/>
    </row>
    <row r="33" spans="1:10" ht="12.75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0" ht="12.75">
      <c r="A34" s="30"/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12.75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2.75">
      <c r="A36" s="30"/>
      <c r="B36" s="31"/>
      <c r="C36" s="31"/>
      <c r="D36" s="31"/>
      <c r="E36" s="31"/>
      <c r="F36" s="31"/>
      <c r="G36" s="31"/>
      <c r="H36" s="31"/>
      <c r="I36" s="31"/>
      <c r="J36" s="32"/>
    </row>
    <row r="37" spans="1:10" ht="12.75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13.5" thickBot="1">
      <c r="A38" s="40"/>
      <c r="B38" s="41"/>
      <c r="C38" s="41"/>
      <c r="D38" s="41"/>
      <c r="E38" s="41"/>
      <c r="F38" s="41"/>
      <c r="G38" s="41"/>
      <c r="H38" s="41"/>
      <c r="I38" s="41"/>
      <c r="J38" s="42"/>
    </row>
    <row r="39" s="31" customFormat="1" ht="12.75"/>
    <row r="40" spans="1:10" ht="12.7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2.7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2.75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2.75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.7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2.75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2.75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ht="19.5" customHeight="1"/>
    <row r="50" spans="1:10" ht="12.75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2.75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2.7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2.7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2.75">
      <c r="A54" s="31"/>
      <c r="B54" s="31"/>
      <c r="C54" s="31"/>
      <c r="D54" s="31"/>
      <c r="E54" s="31"/>
      <c r="F54" s="31"/>
      <c r="G54" s="31"/>
      <c r="H54" s="31"/>
      <c r="I54" s="31"/>
      <c r="J54" s="31"/>
    </row>
  </sheetData>
  <sheetProtection/>
  <mergeCells count="6">
    <mergeCell ref="A19:J19"/>
    <mergeCell ref="A21:J21"/>
    <mergeCell ref="A23:J23"/>
    <mergeCell ref="A26:J26"/>
    <mergeCell ref="A31:J31"/>
    <mergeCell ref="A32:J32"/>
  </mergeCells>
  <printOptions horizontalCentered="1" verticalCentered="1"/>
  <pageMargins left="0.7874015748031497" right="0.4724409448818898" top="0.5511811023622047" bottom="1.4173228346456694" header="0.2362204724409449" footer="0.4724409448818898"/>
  <pageSetup horizontalDpi="600" verticalDpi="600" orientation="portrait" scale="99" r:id="rId2"/>
  <headerFooter scaleWithDoc="0">
    <oddFooter>&amp;R&amp;9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G28"/>
  <sheetViews>
    <sheetView showGridLines="0"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3.7109375" style="43" customWidth="1"/>
    <col min="2" max="2" width="60.7109375" style="44" customWidth="1"/>
    <col min="3" max="3" width="6.7109375" style="45" customWidth="1"/>
    <col min="4" max="4" width="10.7109375" style="45" customWidth="1"/>
    <col min="5" max="5" width="3.7109375" style="46" customWidth="1"/>
    <col min="6" max="6" width="10.7109375" style="44" customWidth="1"/>
    <col min="7" max="7" width="3.7109375" style="47" customWidth="1"/>
    <col min="8" max="16384" width="9.140625" style="44" customWidth="1"/>
  </cols>
  <sheetData>
    <row r="1" ht="60" customHeight="1" thickBot="1"/>
    <row r="2" spans="1:7" s="116" customFormat="1" ht="19.5" customHeight="1" thickBot="1">
      <c r="A2" s="412" t="s">
        <v>60</v>
      </c>
      <c r="B2" s="413"/>
      <c r="C2" s="413"/>
      <c r="D2" s="413"/>
      <c r="E2" s="413"/>
      <c r="F2" s="413"/>
      <c r="G2" s="414"/>
    </row>
    <row r="3" spans="1:7" s="120" customFormat="1" ht="15" customHeight="1">
      <c r="A3" s="48"/>
      <c r="B3" s="48"/>
      <c r="C3" s="48"/>
      <c r="D3" s="48"/>
      <c r="E3" s="48"/>
      <c r="F3" s="48"/>
      <c r="G3" s="48"/>
    </row>
    <row r="4" spans="1:7" s="118" customFormat="1" ht="15">
      <c r="A4" s="415" t="s">
        <v>190</v>
      </c>
      <c r="B4" s="415"/>
      <c r="C4" s="415"/>
      <c r="D4" s="415"/>
      <c r="E4" s="415"/>
      <c r="F4" s="415"/>
      <c r="G4" s="415"/>
    </row>
    <row r="5" spans="1:7" s="118" customFormat="1" ht="15" customHeight="1">
      <c r="A5" s="416" t="s">
        <v>62</v>
      </c>
      <c r="B5" s="416"/>
      <c r="C5" s="416"/>
      <c r="D5" s="416"/>
      <c r="E5" s="416"/>
      <c r="F5" s="416"/>
      <c r="G5" s="416"/>
    </row>
    <row r="6" spans="1:7" s="118" customFormat="1" ht="15" customHeight="1">
      <c r="A6" s="49"/>
      <c r="B6" s="50"/>
      <c r="C6" s="51"/>
      <c r="D6" s="51"/>
      <c r="E6" s="51"/>
      <c r="F6" s="52"/>
      <c r="G6" s="52"/>
    </row>
    <row r="7" spans="1:7" s="118" customFormat="1" ht="15" customHeight="1">
      <c r="A7" s="49"/>
      <c r="B7" s="50"/>
      <c r="C7" s="51"/>
      <c r="D7" s="51"/>
      <c r="E7" s="51"/>
      <c r="F7" s="52"/>
      <c r="G7" s="52"/>
    </row>
    <row r="8" spans="1:7" s="116" customFormat="1" ht="92.25" customHeight="1">
      <c r="A8" s="53"/>
      <c r="B8" s="417" t="s">
        <v>246</v>
      </c>
      <c r="C8" s="417"/>
      <c r="D8" s="417"/>
      <c r="E8" s="417"/>
      <c r="F8" s="417"/>
      <c r="G8" s="54"/>
    </row>
    <row r="9" spans="1:7" s="116" customFormat="1" ht="44.25" customHeight="1">
      <c r="A9" s="53"/>
      <c r="B9" s="417" t="s">
        <v>242</v>
      </c>
      <c r="C9" s="417"/>
      <c r="D9" s="417"/>
      <c r="E9" s="417"/>
      <c r="F9" s="417"/>
      <c r="G9" s="54"/>
    </row>
    <row r="10" spans="1:7" s="116" customFormat="1" ht="72.75" customHeight="1">
      <c r="A10" s="53"/>
      <c r="B10" s="418"/>
      <c r="C10" s="418"/>
      <c r="D10" s="418"/>
      <c r="E10" s="418"/>
      <c r="F10" s="418"/>
      <c r="G10" s="54"/>
    </row>
    <row r="11" spans="1:6" ht="14.25">
      <c r="A11" s="55"/>
      <c r="B11" s="47"/>
      <c r="C11" s="409" t="s">
        <v>247</v>
      </c>
      <c r="D11" s="409"/>
      <c r="E11" s="409"/>
      <c r="F11" s="409"/>
    </row>
    <row r="12" spans="1:6" ht="12.75">
      <c r="A12" s="55"/>
      <c r="B12" s="47"/>
      <c r="C12" s="46"/>
      <c r="D12" s="46"/>
      <c r="F12" s="47"/>
    </row>
    <row r="13" spans="1:6" ht="12.75">
      <c r="A13" s="55"/>
      <c r="B13" s="47"/>
      <c r="C13" s="46"/>
      <c r="D13" s="46"/>
      <c r="F13" s="47"/>
    </row>
    <row r="14" spans="1:6" ht="12.75">
      <c r="A14" s="55"/>
      <c r="B14" s="47"/>
      <c r="C14" s="46"/>
      <c r="D14" s="46"/>
      <c r="F14" s="47"/>
    </row>
    <row r="15" spans="1:6" ht="12.75">
      <c r="A15" s="55"/>
      <c r="B15" s="47"/>
      <c r="C15" s="46"/>
      <c r="D15" s="46"/>
      <c r="F15" s="47"/>
    </row>
    <row r="16" spans="1:6" ht="12.75">
      <c r="A16" s="55"/>
      <c r="B16" s="47"/>
      <c r="C16" s="46"/>
      <c r="D16" s="46"/>
      <c r="F16" s="47"/>
    </row>
    <row r="17" spans="1:6" ht="12.75">
      <c r="A17" s="55"/>
      <c r="B17" s="47"/>
      <c r="C17" s="46"/>
      <c r="D17" s="46"/>
      <c r="F17" s="47"/>
    </row>
    <row r="18" spans="1:6" ht="12.75">
      <c r="A18" s="55"/>
      <c r="B18" s="56"/>
      <c r="C18" s="46"/>
      <c r="D18" s="46"/>
      <c r="F18" s="47"/>
    </row>
    <row r="19" spans="1:7" ht="12.75">
      <c r="A19" s="55"/>
      <c r="B19" s="410" t="s">
        <v>61</v>
      </c>
      <c r="C19" s="410"/>
      <c r="D19" s="410"/>
      <c r="E19" s="410"/>
      <c r="F19" s="410"/>
      <c r="G19" s="410"/>
    </row>
    <row r="20" spans="1:7" ht="12.75">
      <c r="A20" s="55"/>
      <c r="B20" s="411" t="s">
        <v>176</v>
      </c>
      <c r="C20" s="411"/>
      <c r="D20" s="411"/>
      <c r="E20" s="411"/>
      <c r="F20" s="411"/>
      <c r="G20" s="411"/>
    </row>
    <row r="21" spans="1:7" ht="12.75">
      <c r="A21" s="55"/>
      <c r="B21" s="411" t="s">
        <v>177</v>
      </c>
      <c r="C21" s="411"/>
      <c r="D21" s="411"/>
      <c r="E21" s="411"/>
      <c r="F21" s="411"/>
      <c r="G21" s="411"/>
    </row>
    <row r="22" spans="1:7" ht="12.75">
      <c r="A22" s="55"/>
      <c r="B22" s="411" t="s">
        <v>172</v>
      </c>
      <c r="C22" s="411"/>
      <c r="D22" s="411"/>
      <c r="E22" s="411"/>
      <c r="F22" s="411"/>
      <c r="G22" s="411"/>
    </row>
    <row r="23" spans="1:6" ht="12.75">
      <c r="A23" s="55"/>
      <c r="B23" s="121"/>
      <c r="C23" s="122"/>
      <c r="D23" s="122"/>
      <c r="E23" s="122"/>
      <c r="F23" s="47"/>
    </row>
    <row r="24" spans="1:6" ht="12.75">
      <c r="A24" s="55"/>
      <c r="B24" s="47"/>
      <c r="C24" s="46"/>
      <c r="D24" s="46"/>
      <c r="F24" s="47"/>
    </row>
    <row r="25" spans="1:6" ht="12.75">
      <c r="A25" s="55"/>
      <c r="B25" s="47"/>
      <c r="C25" s="46"/>
      <c r="D25" s="46"/>
      <c r="F25" s="47"/>
    </row>
    <row r="26" spans="1:6" ht="12.75">
      <c r="A26" s="55"/>
      <c r="B26" s="47"/>
      <c r="C26" s="46"/>
      <c r="D26" s="46"/>
      <c r="F26" s="47"/>
    </row>
    <row r="27" spans="1:6" ht="12.75">
      <c r="A27" s="55"/>
      <c r="B27" s="47"/>
      <c r="C27" s="46"/>
      <c r="D27" s="46"/>
      <c r="F27" s="47"/>
    </row>
    <row r="28" spans="1:6" ht="12.75">
      <c r="A28" s="55"/>
      <c r="B28" s="47"/>
      <c r="C28" s="46"/>
      <c r="D28" s="46"/>
      <c r="F28" s="47"/>
    </row>
  </sheetData>
  <sheetProtection/>
  <mergeCells count="11">
    <mergeCell ref="B10:F10"/>
    <mergeCell ref="C11:F11"/>
    <mergeCell ref="B19:G19"/>
    <mergeCell ref="B20:G20"/>
    <mergeCell ref="B21:G21"/>
    <mergeCell ref="B22:G22"/>
    <mergeCell ref="A2:G2"/>
    <mergeCell ref="A4:G4"/>
    <mergeCell ref="A5:G5"/>
    <mergeCell ref="B8:F8"/>
    <mergeCell ref="B9:F9"/>
  </mergeCells>
  <printOptions horizontalCentered="1"/>
  <pageMargins left="0.7874015748031497" right="0.4724409448818898" top="0.7874015748031497" bottom="0.9055118110236221" header="0.31496062992125984" footer="0.35433070866141736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G40"/>
  <sheetViews>
    <sheetView showGridLines="0" tabSelected="1" zoomScaleSheetLayoutView="100" workbookViewId="0" topLeftCell="A1">
      <selection activeCell="D16" sqref="D16"/>
    </sheetView>
  </sheetViews>
  <sheetFormatPr defaultColWidth="9.140625" defaultRowHeight="15"/>
  <cols>
    <col min="1" max="1" width="5.7109375" style="43" customWidth="1"/>
    <col min="2" max="2" width="65.8515625" style="44" customWidth="1"/>
    <col min="3" max="3" width="5.7109375" style="119" customWidth="1"/>
    <col min="4" max="4" width="8.140625" style="119" customWidth="1"/>
    <col min="5" max="5" width="2.7109375" style="44" customWidth="1"/>
    <col min="6" max="6" width="9.28125" style="44" customWidth="1"/>
    <col min="7" max="7" width="4.28125" style="44" customWidth="1"/>
    <col min="8" max="16384" width="9.140625" style="44" customWidth="1"/>
  </cols>
  <sheetData>
    <row r="1" spans="1:7" ht="77.25" customHeight="1" thickBot="1">
      <c r="A1" s="325"/>
      <c r="B1" s="420" t="s">
        <v>222</v>
      </c>
      <c r="C1" s="421"/>
      <c r="D1" s="421"/>
      <c r="E1" s="421"/>
      <c r="F1" s="421"/>
      <c r="G1" s="422"/>
    </row>
    <row r="2" spans="1:7" s="116" customFormat="1" ht="19.5" customHeight="1" thickBot="1">
      <c r="A2" s="426" t="s">
        <v>64</v>
      </c>
      <c r="B2" s="427"/>
      <c r="C2" s="427"/>
      <c r="D2" s="427"/>
      <c r="E2" s="427"/>
      <c r="F2" s="427"/>
      <c r="G2" s="58"/>
    </row>
    <row r="3" spans="1:7" ht="15" customHeight="1">
      <c r="A3" s="428" t="str">
        <f>Cronograma!A5</f>
        <v>EMPREENDIMENTO: FECHAMENTO DO TERRENO - ÁREA II - ALAMBRADO COM POSTES DE CONCRETO</v>
      </c>
      <c r="B3" s="429"/>
      <c r="C3" s="429"/>
      <c r="D3" s="429"/>
      <c r="E3" s="429"/>
      <c r="F3" s="429"/>
      <c r="G3" s="59"/>
    </row>
    <row r="4" spans="1:7" ht="15" customHeight="1">
      <c r="A4" s="430" t="str">
        <f>'Declaração GPI'!A5:G5</f>
        <v>CLIENTE: INSTITUTO FEDERAL DE EDUCAÇAO, CIENCIAS E TECNOLOGIA DE GOIAS - URUAÇU</v>
      </c>
      <c r="B4" s="431"/>
      <c r="C4" s="431"/>
      <c r="D4" s="431"/>
      <c r="E4" s="431"/>
      <c r="F4" s="431"/>
      <c r="G4" s="60"/>
    </row>
    <row r="5" spans="1:7" s="117" customFormat="1" ht="30" customHeight="1">
      <c r="A5" s="61"/>
      <c r="B5" s="62" t="s">
        <v>65</v>
      </c>
      <c r="C5" s="63"/>
      <c r="D5" s="432" t="s">
        <v>66</v>
      </c>
      <c r="E5" s="433"/>
      <c r="F5" s="432" t="s">
        <v>67</v>
      </c>
      <c r="G5" s="434"/>
    </row>
    <row r="6" spans="1:7" ht="15" customHeight="1">
      <c r="A6" s="64">
        <v>1</v>
      </c>
      <c r="B6" s="65" t="s">
        <v>252</v>
      </c>
      <c r="C6" s="66" t="s">
        <v>68</v>
      </c>
      <c r="D6" s="435">
        <f>((1+((D7+D8+D9)/100))*(1+(D10/100))*(1+(D11/100)))</f>
        <v>1.1532</v>
      </c>
      <c r="E6" s="436"/>
      <c r="F6" s="435">
        <f>((1+((F7+F8+F9)/100))*(1+(F10/100))*(1+(F11/100)))</f>
        <v>1.1107</v>
      </c>
      <c r="G6" s="436"/>
    </row>
    <row r="7" spans="1:7" ht="15" customHeight="1">
      <c r="A7" s="67" t="s">
        <v>3</v>
      </c>
      <c r="B7" s="68" t="s">
        <v>69</v>
      </c>
      <c r="C7" s="69" t="s">
        <v>70</v>
      </c>
      <c r="D7" s="70">
        <v>4</v>
      </c>
      <c r="E7" s="71" t="s">
        <v>71</v>
      </c>
      <c r="F7" s="72">
        <v>3.45</v>
      </c>
      <c r="G7" s="73" t="s">
        <v>71</v>
      </c>
    </row>
    <row r="8" spans="1:7" ht="15" customHeight="1">
      <c r="A8" s="67" t="s">
        <v>5</v>
      </c>
      <c r="B8" s="68" t="s">
        <v>250</v>
      </c>
      <c r="C8" s="69" t="s">
        <v>251</v>
      </c>
      <c r="D8" s="70">
        <v>0.8</v>
      </c>
      <c r="E8" s="71" t="s">
        <v>71</v>
      </c>
      <c r="F8" s="70">
        <v>0.48</v>
      </c>
      <c r="G8" s="73" t="s">
        <v>71</v>
      </c>
    </row>
    <row r="9" spans="1:7" ht="15" customHeight="1">
      <c r="A9" s="67" t="s">
        <v>18</v>
      </c>
      <c r="B9" s="68" t="s">
        <v>72</v>
      </c>
      <c r="C9" s="69" t="s">
        <v>73</v>
      </c>
      <c r="D9" s="70">
        <v>1.27</v>
      </c>
      <c r="E9" s="71" t="s">
        <v>71</v>
      </c>
      <c r="F9" s="70">
        <v>0.85</v>
      </c>
      <c r="G9" s="73" t="s">
        <v>71</v>
      </c>
    </row>
    <row r="10" spans="1:7" ht="15" customHeight="1">
      <c r="A10" s="67" t="s">
        <v>74</v>
      </c>
      <c r="B10" s="68" t="s">
        <v>75</v>
      </c>
      <c r="C10" s="69" t="s">
        <v>76</v>
      </c>
      <c r="D10" s="70">
        <v>1.23</v>
      </c>
      <c r="E10" s="71" t="s">
        <v>71</v>
      </c>
      <c r="F10" s="70">
        <v>0.85</v>
      </c>
      <c r="G10" s="73" t="s">
        <v>71</v>
      </c>
    </row>
    <row r="11" spans="1:7" ht="15" customHeight="1">
      <c r="A11" s="67" t="s">
        <v>77</v>
      </c>
      <c r="B11" s="74" t="s">
        <v>78</v>
      </c>
      <c r="C11" s="69" t="s">
        <v>79</v>
      </c>
      <c r="D11" s="70">
        <v>7.4</v>
      </c>
      <c r="E11" s="71" t="s">
        <v>71</v>
      </c>
      <c r="F11" s="70">
        <v>5.11</v>
      </c>
      <c r="G11" s="73" t="s">
        <v>71</v>
      </c>
    </row>
    <row r="12" spans="1:7" ht="15" customHeight="1">
      <c r="A12" s="64">
        <v>2</v>
      </c>
      <c r="B12" s="65" t="s">
        <v>80</v>
      </c>
      <c r="C12" s="66" t="s">
        <v>81</v>
      </c>
      <c r="D12" s="75">
        <f>D13+D14+D15+D16+D17</f>
        <v>9.65</v>
      </c>
      <c r="E12" s="76" t="s">
        <v>71</v>
      </c>
      <c r="F12" s="75">
        <f>F13+F14+F15+F16+F17</f>
        <v>5.65</v>
      </c>
      <c r="G12" s="77" t="s">
        <v>71</v>
      </c>
    </row>
    <row r="13" spans="1:7" ht="15" customHeight="1">
      <c r="A13" s="67" t="s">
        <v>6</v>
      </c>
      <c r="B13" s="74" t="s">
        <v>82</v>
      </c>
      <c r="C13" s="69" t="s">
        <v>83</v>
      </c>
      <c r="D13" s="70">
        <v>3</v>
      </c>
      <c r="E13" s="71" t="s">
        <v>71</v>
      </c>
      <c r="F13" s="70">
        <v>3</v>
      </c>
      <c r="G13" s="73" t="s">
        <v>71</v>
      </c>
    </row>
    <row r="14" spans="1:7" ht="15" customHeight="1">
      <c r="A14" s="67" t="s">
        <v>7</v>
      </c>
      <c r="B14" s="74" t="s">
        <v>84</v>
      </c>
      <c r="C14" s="69" t="s">
        <v>85</v>
      </c>
      <c r="D14" s="70">
        <v>4</v>
      </c>
      <c r="E14" s="71" t="s">
        <v>71</v>
      </c>
      <c r="F14" s="70">
        <v>0</v>
      </c>
      <c r="G14" s="73" t="s">
        <v>71</v>
      </c>
    </row>
    <row r="15" spans="1:7" ht="15" customHeight="1">
      <c r="A15" s="67" t="s">
        <v>8</v>
      </c>
      <c r="B15" s="74" t="s">
        <v>86</v>
      </c>
      <c r="C15" s="69" t="s">
        <v>87</v>
      </c>
      <c r="D15" s="70">
        <v>0.65</v>
      </c>
      <c r="E15" s="71" t="s">
        <v>71</v>
      </c>
      <c r="F15" s="70">
        <v>0.65</v>
      </c>
      <c r="G15" s="73" t="s">
        <v>71</v>
      </c>
    </row>
    <row r="16" spans="1:7" ht="15" customHeight="1">
      <c r="A16" s="67" t="s">
        <v>9</v>
      </c>
      <c r="B16" s="74" t="s">
        <v>88</v>
      </c>
      <c r="C16" s="69" t="s">
        <v>89</v>
      </c>
      <c r="D16" s="70">
        <v>2</v>
      </c>
      <c r="E16" s="71" t="s">
        <v>71</v>
      </c>
      <c r="F16" s="70">
        <v>2</v>
      </c>
      <c r="G16" s="73" t="s">
        <v>71</v>
      </c>
    </row>
    <row r="17" spans="1:7" ht="15" customHeight="1">
      <c r="A17" s="78" t="s">
        <v>90</v>
      </c>
      <c r="B17" s="79" t="s">
        <v>91</v>
      </c>
      <c r="C17" s="80" t="s">
        <v>92</v>
      </c>
      <c r="D17" s="81">
        <v>0</v>
      </c>
      <c r="E17" s="82" t="s">
        <v>71</v>
      </c>
      <c r="F17" s="81">
        <v>0</v>
      </c>
      <c r="G17" s="83" t="s">
        <v>71</v>
      </c>
    </row>
    <row r="18" spans="1:7" s="118" customFormat="1" ht="15" customHeight="1">
      <c r="A18" s="84"/>
      <c r="B18" s="85" t="s">
        <v>93</v>
      </c>
      <c r="C18" s="86"/>
      <c r="D18" s="87">
        <f>((D6/(1-(D12/100)))-1)*100</f>
        <v>27.64</v>
      </c>
      <c r="E18" s="86" t="s">
        <v>71</v>
      </c>
      <c r="F18" s="87">
        <f>((F6/(1-(F12/100)))-1)*100</f>
        <v>17.72</v>
      </c>
      <c r="G18" s="88" t="s">
        <v>71</v>
      </c>
    </row>
    <row r="19" spans="1:7" s="118" customFormat="1" ht="15" customHeight="1">
      <c r="A19" s="89"/>
      <c r="B19" s="50"/>
      <c r="C19" s="90"/>
      <c r="D19" s="90"/>
      <c r="E19" s="90"/>
      <c r="F19" s="90"/>
      <c r="G19" s="91"/>
    </row>
    <row r="20" spans="1:7" s="118" customFormat="1" ht="15" customHeight="1">
      <c r="A20" s="89"/>
      <c r="B20" s="50" t="s">
        <v>249</v>
      </c>
      <c r="C20" s="90"/>
      <c r="D20" s="90"/>
      <c r="E20" s="90"/>
      <c r="F20" s="90"/>
      <c r="G20" s="91"/>
    </row>
    <row r="21" spans="1:7" s="118" customFormat="1" ht="15" customHeight="1">
      <c r="A21" s="89"/>
      <c r="B21" s="50"/>
      <c r="C21" s="90"/>
      <c r="D21" s="90"/>
      <c r="E21" s="90"/>
      <c r="F21" s="90"/>
      <c r="G21" s="91"/>
    </row>
    <row r="22" spans="1:7" s="118" customFormat="1" ht="15" customHeight="1">
      <c r="A22" s="89"/>
      <c r="B22" s="50"/>
      <c r="C22" s="90"/>
      <c r="D22" s="90"/>
      <c r="E22" s="92"/>
      <c r="F22" s="90"/>
      <c r="G22" s="91"/>
    </row>
    <row r="23" spans="1:7" s="118" customFormat="1" ht="15" customHeight="1">
      <c r="A23" s="89"/>
      <c r="B23" s="50"/>
      <c r="C23" s="90"/>
      <c r="D23" s="90"/>
      <c r="E23" s="90"/>
      <c r="F23" s="90"/>
      <c r="G23" s="91"/>
    </row>
    <row r="24" spans="1:7" s="118" customFormat="1" ht="15" customHeight="1">
      <c r="A24" s="89"/>
      <c r="B24" s="50"/>
      <c r="C24" s="90"/>
      <c r="D24" s="90"/>
      <c r="E24" s="90"/>
      <c r="F24" s="90"/>
      <c r="G24" s="91"/>
    </row>
    <row r="25" spans="1:7" s="118" customFormat="1" ht="15" customHeight="1">
      <c r="A25" s="89"/>
      <c r="B25" s="50"/>
      <c r="C25" s="90"/>
      <c r="D25" s="90"/>
      <c r="E25" s="90"/>
      <c r="F25" s="90"/>
      <c r="G25" s="91"/>
    </row>
    <row r="26" spans="1:7" s="118" customFormat="1" ht="15" customHeight="1">
      <c r="A26" s="89"/>
      <c r="B26" s="50"/>
      <c r="C26" s="90"/>
      <c r="D26" s="90"/>
      <c r="E26" s="90"/>
      <c r="F26" s="90"/>
      <c r="G26" s="91"/>
    </row>
    <row r="27" spans="1:7" s="118" customFormat="1" ht="15" customHeight="1">
      <c r="A27" s="89"/>
      <c r="B27" s="50"/>
      <c r="C27" s="90"/>
      <c r="D27" s="90"/>
      <c r="E27" s="90"/>
      <c r="F27" s="90"/>
      <c r="G27" s="91"/>
    </row>
    <row r="28" spans="1:7" s="90" customFormat="1" ht="12.75" customHeight="1">
      <c r="A28" s="89"/>
      <c r="B28" s="50"/>
      <c r="G28" s="91"/>
    </row>
    <row r="29" spans="1:7" s="52" customFormat="1" ht="30" customHeight="1">
      <c r="A29" s="148"/>
      <c r="B29" s="425" t="s">
        <v>248</v>
      </c>
      <c r="C29" s="425"/>
      <c r="D29" s="425"/>
      <c r="E29" s="425"/>
      <c r="F29" s="425"/>
      <c r="G29" s="93"/>
    </row>
    <row r="30" spans="1:7" s="47" customFormat="1" ht="12.75">
      <c r="A30" s="149"/>
      <c r="B30" s="419" t="s">
        <v>180</v>
      </c>
      <c r="C30" s="419"/>
      <c r="D30" s="419"/>
      <c r="E30" s="419"/>
      <c r="F30" s="419"/>
      <c r="G30" s="94"/>
    </row>
    <row r="31" spans="1:7" ht="71.25" customHeight="1">
      <c r="A31" s="149"/>
      <c r="B31" s="419" t="s">
        <v>94</v>
      </c>
      <c r="C31" s="419"/>
      <c r="D31" s="419"/>
      <c r="E31" s="419"/>
      <c r="F31" s="419"/>
      <c r="G31" s="59"/>
    </row>
    <row r="32" spans="1:7" ht="28.5" customHeight="1">
      <c r="A32" s="95"/>
      <c r="B32" s="419" t="s">
        <v>181</v>
      </c>
      <c r="C32" s="419"/>
      <c r="D32" s="419"/>
      <c r="E32" s="419"/>
      <c r="F32" s="419"/>
      <c r="G32" s="59"/>
    </row>
    <row r="33" spans="1:7" ht="12.75">
      <c r="A33" s="95"/>
      <c r="B33" s="96"/>
      <c r="C33" s="96"/>
      <c r="D33" s="96"/>
      <c r="E33" s="96"/>
      <c r="F33" s="96"/>
      <c r="G33" s="59"/>
    </row>
    <row r="34" spans="1:7" ht="12.75">
      <c r="A34" s="95"/>
      <c r="B34" s="97"/>
      <c r="C34" s="98"/>
      <c r="D34" s="98"/>
      <c r="E34" s="97"/>
      <c r="F34" s="97"/>
      <c r="G34" s="59"/>
    </row>
    <row r="35" spans="1:7" ht="12.75">
      <c r="A35" s="95"/>
      <c r="B35" s="97"/>
      <c r="C35" s="98"/>
      <c r="D35" s="98"/>
      <c r="E35" s="97"/>
      <c r="F35" s="97"/>
      <c r="G35" s="59"/>
    </row>
    <row r="36" spans="1:7" ht="12.75">
      <c r="A36" s="95"/>
      <c r="B36" s="97"/>
      <c r="C36" s="98"/>
      <c r="D36" s="98"/>
      <c r="E36" s="97"/>
      <c r="F36" s="97"/>
      <c r="G36" s="59"/>
    </row>
    <row r="37" spans="1:7" ht="12.75">
      <c r="A37" s="95"/>
      <c r="B37" s="410" t="s">
        <v>95</v>
      </c>
      <c r="C37" s="410"/>
      <c r="D37" s="410"/>
      <c r="E37" s="57"/>
      <c r="F37" s="57"/>
      <c r="G37" s="59"/>
    </row>
    <row r="38" spans="1:7" ht="12.75">
      <c r="A38" s="95"/>
      <c r="B38" s="424" t="s">
        <v>178</v>
      </c>
      <c r="C38" s="424"/>
      <c r="D38" s="424"/>
      <c r="E38" s="99"/>
      <c r="F38" s="99"/>
      <c r="G38" s="59"/>
    </row>
    <row r="39" spans="1:7" ht="12.75">
      <c r="A39" s="95"/>
      <c r="B39" s="424" t="s">
        <v>179</v>
      </c>
      <c r="C39" s="424"/>
      <c r="D39" s="424"/>
      <c r="E39" s="99"/>
      <c r="F39" s="99"/>
      <c r="G39" s="59"/>
    </row>
    <row r="40" spans="1:7" ht="13.5" thickBot="1">
      <c r="A40" s="100"/>
      <c r="B40" s="423" t="s">
        <v>172</v>
      </c>
      <c r="C40" s="423"/>
      <c r="D40" s="423"/>
      <c r="E40" s="101"/>
      <c r="F40" s="101"/>
      <c r="G40" s="102"/>
    </row>
  </sheetData>
  <sheetProtection/>
  <mergeCells count="16">
    <mergeCell ref="A3:F3"/>
    <mergeCell ref="A4:F4"/>
    <mergeCell ref="D5:E5"/>
    <mergeCell ref="F5:G5"/>
    <mergeCell ref="D6:E6"/>
    <mergeCell ref="F6:G6"/>
    <mergeCell ref="B32:F32"/>
    <mergeCell ref="B1:G1"/>
    <mergeCell ref="B40:D40"/>
    <mergeCell ref="B37:D37"/>
    <mergeCell ref="B38:D38"/>
    <mergeCell ref="B39:D39"/>
    <mergeCell ref="B29:F29"/>
    <mergeCell ref="B30:F30"/>
    <mergeCell ref="B31:F31"/>
    <mergeCell ref="A2:F2"/>
  </mergeCells>
  <printOptions horizontalCentered="1"/>
  <pageMargins left="0.6692913385826772" right="0.5118110236220472" top="0.7874015748031497" bottom="0.7874015748031497" header="0.6299212598425197" footer="0.31496062992125984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SheetLayoutView="95" workbookViewId="0" topLeftCell="A25">
      <selection activeCell="E33" sqref="E32:E33"/>
    </sheetView>
  </sheetViews>
  <sheetFormatPr defaultColWidth="9.140625" defaultRowHeight="15"/>
  <cols>
    <col min="1" max="1" width="19.421875" style="18" customWidth="1"/>
    <col min="2" max="2" width="9.140625" style="22" customWidth="1"/>
    <col min="3" max="3" width="54.28125" style="1" customWidth="1"/>
    <col min="4" max="4" width="6.7109375" style="18" customWidth="1"/>
    <col min="5" max="5" width="11.140625" style="16" bestFit="1" customWidth="1"/>
    <col min="6" max="7" width="16.7109375" style="16" customWidth="1"/>
    <col min="8" max="8" width="15.8515625" style="2" hidden="1" customWidth="1"/>
    <col min="9" max="9" width="0" style="1" hidden="1" customWidth="1"/>
    <col min="10" max="10" width="15.7109375" style="1" hidden="1" customWidth="1"/>
    <col min="11" max="11" width="14.421875" style="1" customWidth="1"/>
    <col min="12" max="12" width="14.57421875" style="1" hidden="1" customWidth="1"/>
    <col min="13" max="13" width="16.00390625" style="1" hidden="1" customWidth="1"/>
    <col min="14" max="14" width="14.00390625" style="1" hidden="1" customWidth="1"/>
    <col min="15" max="15" width="12.7109375" style="1" hidden="1" customWidth="1"/>
    <col min="16" max="17" width="0" style="1" hidden="1" customWidth="1"/>
    <col min="18" max="18" width="11.7109375" style="1" hidden="1" customWidth="1"/>
    <col min="19" max="16384" width="9.140625" style="1" customWidth="1"/>
  </cols>
  <sheetData>
    <row r="1" spans="1:7" ht="15" customHeight="1">
      <c r="A1" s="175"/>
      <c r="B1" s="176"/>
      <c r="C1" s="462" t="s">
        <v>222</v>
      </c>
      <c r="D1" s="462"/>
      <c r="E1" s="462"/>
      <c r="F1" s="462"/>
      <c r="G1" s="463"/>
    </row>
    <row r="2" spans="1:7" ht="12.75">
      <c r="A2" s="177"/>
      <c r="B2" s="178"/>
      <c r="C2" s="464"/>
      <c r="D2" s="464"/>
      <c r="E2" s="464"/>
      <c r="F2" s="464"/>
      <c r="G2" s="465"/>
    </row>
    <row r="3" spans="1:7" ht="12.75">
      <c r="A3" s="177"/>
      <c r="B3" s="178"/>
      <c r="C3" s="464"/>
      <c r="D3" s="464"/>
      <c r="E3" s="464"/>
      <c r="F3" s="464"/>
      <c r="G3" s="465"/>
    </row>
    <row r="4" spans="1:7" ht="43.5" customHeight="1">
      <c r="A4" s="177"/>
      <c r="B4" s="178"/>
      <c r="C4" s="466"/>
      <c r="D4" s="466"/>
      <c r="E4" s="466"/>
      <c r="F4" s="466"/>
      <c r="G4" s="467"/>
    </row>
    <row r="5" spans="1:7" ht="21" customHeight="1">
      <c r="A5" s="450" t="s">
        <v>182</v>
      </c>
      <c r="B5" s="451"/>
      <c r="C5" s="451"/>
      <c r="D5" s="451"/>
      <c r="E5" s="451"/>
      <c r="F5" s="451"/>
      <c r="G5" s="452"/>
    </row>
    <row r="6" spans="1:7" ht="19.5" customHeight="1">
      <c r="A6" s="453" t="s">
        <v>183</v>
      </c>
      <c r="B6" s="454"/>
      <c r="C6" s="454"/>
      <c r="D6" s="454"/>
      <c r="E6" s="454"/>
      <c r="F6" s="454"/>
      <c r="G6" s="455"/>
    </row>
    <row r="7" spans="1:7" ht="24" customHeight="1">
      <c r="A7" s="453" t="s">
        <v>191</v>
      </c>
      <c r="B7" s="454"/>
      <c r="C7" s="454"/>
      <c r="D7" s="454"/>
      <c r="E7" s="454"/>
      <c r="F7" s="454"/>
      <c r="G7" s="455"/>
    </row>
    <row r="8" spans="1:7" ht="24.75" customHeight="1" thickBot="1">
      <c r="A8" s="456" t="s">
        <v>184</v>
      </c>
      <c r="B8" s="457"/>
      <c r="C8" s="458"/>
      <c r="D8" s="459" t="s">
        <v>243</v>
      </c>
      <c r="E8" s="460"/>
      <c r="F8" s="460"/>
      <c r="G8" s="461"/>
    </row>
    <row r="9" spans="1:7" ht="15" customHeight="1">
      <c r="A9" s="440" t="s">
        <v>39</v>
      </c>
      <c r="B9" s="444" t="s">
        <v>0</v>
      </c>
      <c r="C9" s="446" t="s">
        <v>1</v>
      </c>
      <c r="D9" s="446" t="s">
        <v>13</v>
      </c>
      <c r="E9" s="448" t="s">
        <v>14</v>
      </c>
      <c r="F9" s="448" t="s">
        <v>15</v>
      </c>
      <c r="G9" s="442" t="s">
        <v>16</v>
      </c>
    </row>
    <row r="10" spans="1:7" ht="12.75">
      <c r="A10" s="441"/>
      <c r="B10" s="445"/>
      <c r="C10" s="447"/>
      <c r="D10" s="447"/>
      <c r="E10" s="449"/>
      <c r="F10" s="449"/>
      <c r="G10" s="443"/>
    </row>
    <row r="11" spans="1:7" ht="21.75" customHeight="1">
      <c r="A11" s="182"/>
      <c r="B11" s="301">
        <v>1</v>
      </c>
      <c r="C11" s="184" t="s">
        <v>2</v>
      </c>
      <c r="D11" s="185"/>
      <c r="E11" s="186"/>
      <c r="F11" s="186"/>
      <c r="G11" s="313">
        <f>SUM(G12:G14)</f>
        <v>18323.92</v>
      </c>
    </row>
    <row r="12" spans="1:7" ht="32.25" customHeight="1">
      <c r="A12" s="188" t="s">
        <v>38</v>
      </c>
      <c r="B12" s="302" t="s">
        <v>3</v>
      </c>
      <c r="C12" s="189" t="s">
        <v>17</v>
      </c>
      <c r="D12" s="190" t="s">
        <v>4</v>
      </c>
      <c r="E12" s="191">
        <v>4</v>
      </c>
      <c r="F12" s="376">
        <v>312.9</v>
      </c>
      <c r="G12" s="314">
        <f>ROUND((F12*E12),2)</f>
        <v>1251.6</v>
      </c>
    </row>
    <row r="13" spans="1:7" ht="63.75">
      <c r="A13" s="377" t="s">
        <v>223</v>
      </c>
      <c r="B13" s="302" t="s">
        <v>5</v>
      </c>
      <c r="C13" s="189" t="s">
        <v>224</v>
      </c>
      <c r="D13" s="190" t="s">
        <v>4</v>
      </c>
      <c r="E13" s="191">
        <v>32</v>
      </c>
      <c r="F13" s="376">
        <v>263.24</v>
      </c>
      <c r="G13" s="314">
        <f>ROUND((F13*E13),2)</f>
        <v>8423.68</v>
      </c>
    </row>
    <row r="14" spans="1:7" ht="40.5" customHeight="1">
      <c r="A14" s="188" t="s">
        <v>212</v>
      </c>
      <c r="B14" s="302" t="s">
        <v>18</v>
      </c>
      <c r="C14" s="189" t="s">
        <v>213</v>
      </c>
      <c r="D14" s="190" t="s">
        <v>4</v>
      </c>
      <c r="E14" s="191">
        <f>(E28*0.6)</f>
        <v>572</v>
      </c>
      <c r="F14" s="376">
        <v>15.12</v>
      </c>
      <c r="G14" s="314">
        <f>ROUND(E14*F14,2)</f>
        <v>8648.64</v>
      </c>
    </row>
    <row r="15" spans="1:7" ht="29.25" customHeight="1">
      <c r="A15" s="183"/>
      <c r="B15" s="301">
        <v>2</v>
      </c>
      <c r="C15" s="184" t="s">
        <v>216</v>
      </c>
      <c r="D15" s="185"/>
      <c r="E15" s="192"/>
      <c r="F15" s="186"/>
      <c r="G15" s="313">
        <f>SUM(G16:G17)</f>
        <v>11966.22</v>
      </c>
    </row>
    <row r="16" spans="1:7" ht="29.25" customHeight="1">
      <c r="A16" s="188" t="s">
        <v>225</v>
      </c>
      <c r="B16" s="302" t="s">
        <v>6</v>
      </c>
      <c r="C16" s="189" t="s">
        <v>40</v>
      </c>
      <c r="D16" s="190" t="s">
        <v>4</v>
      </c>
      <c r="E16" s="191">
        <v>2734.98</v>
      </c>
      <c r="F16" s="376">
        <v>2.54</v>
      </c>
      <c r="G16" s="314">
        <f>ROUND((F16*E16),2)</f>
        <v>6946.85</v>
      </c>
    </row>
    <row r="17" spans="1:7" ht="29.25" customHeight="1">
      <c r="A17" s="318" t="s">
        <v>214</v>
      </c>
      <c r="B17" s="319" t="s">
        <v>7</v>
      </c>
      <c r="C17" s="189" t="s">
        <v>215</v>
      </c>
      <c r="D17" s="320" t="s">
        <v>12</v>
      </c>
      <c r="E17" s="195">
        <f>(953.34*1.5*0.5)</f>
        <v>715.01</v>
      </c>
      <c r="F17" s="376">
        <v>7.02</v>
      </c>
      <c r="G17" s="321">
        <f>ROUND((F17*E17),2)</f>
        <v>5019.37</v>
      </c>
    </row>
    <row r="18" spans="1:7" ht="21.75" customHeight="1">
      <c r="A18" s="183"/>
      <c r="B18" s="301">
        <v>3</v>
      </c>
      <c r="C18" s="184" t="s">
        <v>217</v>
      </c>
      <c r="D18" s="196"/>
      <c r="E18" s="192"/>
      <c r="F18" s="186"/>
      <c r="G18" s="313">
        <f>SUM(G20,G22,G23,G24,G25,G27,G28)</f>
        <v>118433.74</v>
      </c>
    </row>
    <row r="19" spans="1:7" ht="21.75" customHeight="1">
      <c r="A19" s="197"/>
      <c r="B19" s="303"/>
      <c r="C19" s="322" t="s">
        <v>33</v>
      </c>
      <c r="D19" s="198"/>
      <c r="E19" s="199"/>
      <c r="F19" s="200"/>
      <c r="G19" s="314"/>
    </row>
    <row r="20" spans="1:7" ht="33" customHeight="1">
      <c r="A20" s="197" t="s">
        <v>34</v>
      </c>
      <c r="B20" s="303" t="s">
        <v>51</v>
      </c>
      <c r="C20" s="201" t="s">
        <v>220</v>
      </c>
      <c r="D20" s="202" t="s">
        <v>11</v>
      </c>
      <c r="E20" s="203">
        <v>254.4</v>
      </c>
      <c r="F20" s="376">
        <v>71.44</v>
      </c>
      <c r="G20" s="314">
        <f>ROUND((F20*E20),2)</f>
        <v>18174.34</v>
      </c>
    </row>
    <row r="21" spans="1:7" ht="34.5" customHeight="1">
      <c r="A21" s="197"/>
      <c r="B21" s="303"/>
      <c r="C21" s="322" t="s">
        <v>42</v>
      </c>
      <c r="D21" s="198"/>
      <c r="E21" s="199"/>
      <c r="F21" s="376"/>
      <c r="G21" s="314"/>
    </row>
    <row r="22" spans="1:12" ht="26.25" customHeight="1">
      <c r="A22" s="197" t="s">
        <v>35</v>
      </c>
      <c r="B22" s="303" t="s">
        <v>52</v>
      </c>
      <c r="C22" s="201" t="s">
        <v>25</v>
      </c>
      <c r="D22" s="202" t="s">
        <v>12</v>
      </c>
      <c r="E22" s="203">
        <v>23.83</v>
      </c>
      <c r="F22" s="376">
        <v>317.36</v>
      </c>
      <c r="G22" s="314">
        <f>ROUND((F22*E22),2)</f>
        <v>7562.69</v>
      </c>
      <c r="L22" s="167">
        <f>SUM(G22:G25)</f>
        <v>36577.81</v>
      </c>
    </row>
    <row r="23" spans="1:7" ht="27" customHeight="1">
      <c r="A23" s="193" t="s">
        <v>50</v>
      </c>
      <c r="B23" s="303" t="s">
        <v>53</v>
      </c>
      <c r="C23" s="201" t="s">
        <v>221</v>
      </c>
      <c r="D23" s="202" t="s">
        <v>4</v>
      </c>
      <c r="E23" s="203">
        <v>476.67</v>
      </c>
      <c r="F23" s="376">
        <v>27.52</v>
      </c>
      <c r="G23" s="314">
        <f>ROUND((F23*E23),2)</f>
        <v>13117.96</v>
      </c>
    </row>
    <row r="24" spans="1:7" ht="31.5" customHeight="1">
      <c r="A24" s="204" t="s">
        <v>194</v>
      </c>
      <c r="B24" s="303" t="s">
        <v>54</v>
      </c>
      <c r="C24" s="201" t="s">
        <v>195</v>
      </c>
      <c r="D24" s="202" t="s">
        <v>26</v>
      </c>
      <c r="E24" s="205">
        <v>617.74</v>
      </c>
      <c r="F24" s="376">
        <v>7.57</v>
      </c>
      <c r="G24" s="314">
        <f>ROUND((F24*E24),2)</f>
        <v>4676.29</v>
      </c>
    </row>
    <row r="25" spans="1:7" ht="21.75" customHeight="1">
      <c r="A25" s="204" t="s">
        <v>197</v>
      </c>
      <c r="B25" s="303" t="s">
        <v>55</v>
      </c>
      <c r="C25" s="201" t="s">
        <v>196</v>
      </c>
      <c r="D25" s="202" t="s">
        <v>26</v>
      </c>
      <c r="E25" s="205">
        <v>1440.42</v>
      </c>
      <c r="F25" s="376">
        <v>7.79</v>
      </c>
      <c r="G25" s="314">
        <f>ROUND((F25*E25),2)</f>
        <v>11220.87</v>
      </c>
    </row>
    <row r="26" spans="1:7" ht="21.75" customHeight="1">
      <c r="A26" s="197"/>
      <c r="B26" s="303"/>
      <c r="C26" s="322" t="s">
        <v>49</v>
      </c>
      <c r="D26" s="202"/>
      <c r="E26" s="203"/>
      <c r="F26" s="376"/>
      <c r="G26" s="314"/>
    </row>
    <row r="27" spans="1:7" ht="24.75" customHeight="1">
      <c r="A27" s="197" t="s">
        <v>218</v>
      </c>
      <c r="B27" s="303" t="s">
        <v>56</v>
      </c>
      <c r="C27" s="201" t="s">
        <v>44</v>
      </c>
      <c r="D27" s="202" t="s">
        <v>4</v>
      </c>
      <c r="E27" s="323">
        <v>8.82</v>
      </c>
      <c r="F27" s="376">
        <v>712.13</v>
      </c>
      <c r="G27" s="314">
        <f>ROUND((F27*E27),2)</f>
        <v>6280.99</v>
      </c>
    </row>
    <row r="28" spans="1:7" ht="27.75" customHeight="1">
      <c r="A28" s="378" t="s">
        <v>238</v>
      </c>
      <c r="B28" s="303" t="s">
        <v>57</v>
      </c>
      <c r="C28" s="201" t="s">
        <v>198</v>
      </c>
      <c r="D28" s="202" t="s">
        <v>11</v>
      </c>
      <c r="E28" s="203">
        <v>953.34</v>
      </c>
      <c r="F28" s="376">
        <v>60.21</v>
      </c>
      <c r="G28" s="314">
        <f>(E28*F28)</f>
        <v>57400.6</v>
      </c>
    </row>
    <row r="29" spans="1:18" ht="21.75" customHeight="1">
      <c r="A29" s="183"/>
      <c r="B29" s="301">
        <v>4</v>
      </c>
      <c r="C29" s="184" t="s">
        <v>27</v>
      </c>
      <c r="D29" s="206"/>
      <c r="E29" s="207"/>
      <c r="F29" s="208"/>
      <c r="G29" s="313">
        <f>SUM(G30:G36)</f>
        <v>66435.92</v>
      </c>
      <c r="L29" s="169">
        <f>(953.342/3)</f>
        <v>317.780666666667</v>
      </c>
      <c r="M29" s="169">
        <f>(953.342/45)*2</f>
        <v>42.3707555555556</v>
      </c>
      <c r="N29" s="172">
        <f>SUM(L29:M29)</f>
        <v>360.151422222223</v>
      </c>
      <c r="O29" s="136">
        <f>(N29/E28)</f>
        <v>0.377778570313029</v>
      </c>
      <c r="P29" s="173"/>
      <c r="Q29" s="171"/>
      <c r="R29" s="138"/>
    </row>
    <row r="30" spans="1:18" ht="21.75" customHeight="1">
      <c r="A30" s="197" t="s">
        <v>41</v>
      </c>
      <c r="B30" s="307" t="s">
        <v>32</v>
      </c>
      <c r="C30" s="201" t="s">
        <v>28</v>
      </c>
      <c r="D30" s="202" t="s">
        <v>4</v>
      </c>
      <c r="E30" s="191">
        <v>2734.98</v>
      </c>
      <c r="F30" s="376">
        <v>1.59</v>
      </c>
      <c r="G30" s="314">
        <f>ROUND((F30*E30),2)</f>
        <v>4348.62</v>
      </c>
      <c r="K30" s="167"/>
      <c r="O30" s="136"/>
      <c r="P30" s="173"/>
      <c r="Q30" s="171"/>
      <c r="R30" s="138"/>
    </row>
    <row r="31" spans="1:18" ht="24.75" customHeight="1">
      <c r="A31" s="193"/>
      <c r="B31" s="299" t="s">
        <v>205</v>
      </c>
      <c r="C31" s="201" t="s">
        <v>20</v>
      </c>
      <c r="D31" s="299"/>
      <c r="E31" s="300"/>
      <c r="F31" s="376"/>
      <c r="G31" s="315"/>
      <c r="L31" s="169"/>
      <c r="M31" s="169"/>
      <c r="N31" s="172"/>
      <c r="O31" s="136"/>
      <c r="P31" s="170"/>
      <c r="Q31" s="171"/>
      <c r="R31" s="138"/>
    </row>
    <row r="32" spans="1:18" ht="22.5" customHeight="1">
      <c r="A32" s="193" t="s">
        <v>36</v>
      </c>
      <c r="B32" s="299" t="s">
        <v>206</v>
      </c>
      <c r="C32" s="201" t="s">
        <v>211</v>
      </c>
      <c r="D32" s="194" t="s">
        <v>10</v>
      </c>
      <c r="E32" s="195">
        <v>440</v>
      </c>
      <c r="F32" s="376">
        <v>73.42</v>
      </c>
      <c r="G32" s="316">
        <f>ROUND((F32*E32),2)</f>
        <v>32304.8</v>
      </c>
      <c r="L32" s="169"/>
      <c r="M32" s="169"/>
      <c r="N32" s="172"/>
      <c r="O32" s="136"/>
      <c r="P32" s="170"/>
      <c r="Q32" s="171"/>
      <c r="R32" s="138"/>
    </row>
    <row r="33" spans="1:19" ht="22.5" customHeight="1">
      <c r="A33" s="193" t="s">
        <v>37</v>
      </c>
      <c r="B33" s="299" t="s">
        <v>209</v>
      </c>
      <c r="C33" s="201" t="s">
        <v>21</v>
      </c>
      <c r="D33" s="194" t="s">
        <v>10</v>
      </c>
      <c r="E33" s="195">
        <v>880</v>
      </c>
      <c r="F33" s="376">
        <v>31.4</v>
      </c>
      <c r="G33" s="316">
        <f>ROUND((F33*E33),2)</f>
        <v>27632</v>
      </c>
      <c r="L33" s="169" t="s">
        <v>202</v>
      </c>
      <c r="M33" s="169" t="s">
        <v>203</v>
      </c>
      <c r="N33" s="172" t="s">
        <v>204</v>
      </c>
      <c r="O33" s="136"/>
      <c r="P33" s="170"/>
      <c r="Q33" s="171"/>
      <c r="R33" s="138"/>
      <c r="S33" s="298"/>
    </row>
    <row r="34" spans="1:18" ht="22.5" customHeight="1">
      <c r="A34" s="193"/>
      <c r="B34" s="299" t="s">
        <v>207</v>
      </c>
      <c r="C34" s="201" t="s">
        <v>192</v>
      </c>
      <c r="D34" s="299"/>
      <c r="E34" s="195"/>
      <c r="F34" s="376"/>
      <c r="G34" s="315"/>
      <c r="L34" s="137">
        <f>(SUM(G22:G25)/E28)</f>
        <v>38.37</v>
      </c>
      <c r="M34" s="137">
        <f>F28</f>
        <v>60.21</v>
      </c>
      <c r="N34" s="297">
        <f>SUM(L34:M34)</f>
        <v>98.58</v>
      </c>
      <c r="O34" s="136"/>
      <c r="P34" s="170"/>
      <c r="Q34" s="171"/>
      <c r="R34" s="138"/>
    </row>
    <row r="35" spans="1:18" ht="22.5" customHeight="1">
      <c r="A35" s="377" t="s">
        <v>239</v>
      </c>
      <c r="B35" s="299" t="s">
        <v>208</v>
      </c>
      <c r="C35" s="201" t="s">
        <v>22</v>
      </c>
      <c r="D35" s="194" t="s">
        <v>12</v>
      </c>
      <c r="E35" s="195">
        <v>50</v>
      </c>
      <c r="F35" s="376">
        <v>13.81</v>
      </c>
      <c r="G35" s="316">
        <f>ROUND((F35*E35),2)</f>
        <v>690.5</v>
      </c>
      <c r="L35" s="169"/>
      <c r="M35" s="169"/>
      <c r="N35" s="172"/>
      <c r="O35" s="136"/>
      <c r="P35" s="170"/>
      <c r="Q35" s="171"/>
      <c r="R35" s="138"/>
    </row>
    <row r="36" spans="1:18" ht="31.5" customHeight="1">
      <c r="A36" s="377" t="s">
        <v>240</v>
      </c>
      <c r="B36" s="299" t="s">
        <v>210</v>
      </c>
      <c r="C36" s="201" t="s">
        <v>23</v>
      </c>
      <c r="D36" s="194" t="s">
        <v>24</v>
      </c>
      <c r="E36" s="195">
        <v>2000</v>
      </c>
      <c r="F36" s="376">
        <v>0.73</v>
      </c>
      <c r="G36" s="316">
        <f>ROUND((F36*E36),2)</f>
        <v>1460</v>
      </c>
      <c r="L36" s="136"/>
      <c r="M36" s="169"/>
      <c r="N36" s="172"/>
      <c r="O36" s="136"/>
      <c r="P36" s="170"/>
      <c r="Q36" s="171"/>
      <c r="R36" s="138"/>
    </row>
    <row r="37" spans="1:18" ht="21.75" customHeight="1" thickBot="1">
      <c r="A37" s="229"/>
      <c r="B37" s="306"/>
      <c r="C37" s="235"/>
      <c r="D37" s="236"/>
      <c r="E37" s="232"/>
      <c r="F37" s="234"/>
      <c r="G37" s="317"/>
      <c r="L37" s="168"/>
      <c r="M37" s="168"/>
      <c r="N37" s="168"/>
      <c r="O37" s="168"/>
      <c r="P37" s="168"/>
      <c r="Q37" s="168"/>
      <c r="R37" s="174"/>
    </row>
    <row r="38" spans="1:7" ht="21.75" customHeight="1">
      <c r="A38" s="179"/>
      <c r="B38" s="308"/>
      <c r="C38" s="309" t="s">
        <v>29</v>
      </c>
      <c r="D38" s="180"/>
      <c r="E38" s="181"/>
      <c r="F38" s="181"/>
      <c r="G38" s="310">
        <f>SUM(G11,G15,G18,G29)</f>
        <v>215159.8</v>
      </c>
    </row>
    <row r="39" spans="1:7" ht="21.75" customHeight="1">
      <c r="A39" s="183"/>
      <c r="B39" s="304">
        <f>BDI!D18/100</f>
        <v>0.2764</v>
      </c>
      <c r="C39" s="184" t="s">
        <v>185</v>
      </c>
      <c r="D39" s="209"/>
      <c r="E39" s="210"/>
      <c r="F39" s="210"/>
      <c r="G39" s="311">
        <f>G38*B39</f>
        <v>59470.17</v>
      </c>
    </row>
    <row r="40" spans="1:12" ht="21.75" customHeight="1" thickBot="1">
      <c r="A40" s="211"/>
      <c r="B40" s="305"/>
      <c r="C40" s="212" t="s">
        <v>30</v>
      </c>
      <c r="D40" s="213"/>
      <c r="E40" s="214"/>
      <c r="F40" s="214"/>
      <c r="G40" s="312">
        <f>SUM(G38:G39)</f>
        <v>274629.97</v>
      </c>
      <c r="L40" s="1" t="s">
        <v>201</v>
      </c>
    </row>
    <row r="41" spans="1:12" ht="21.75" customHeight="1">
      <c r="A41" s="17"/>
      <c r="B41" s="17"/>
      <c r="C41" s="14"/>
      <c r="D41" s="17"/>
      <c r="E41" s="15"/>
      <c r="F41" s="15"/>
      <c r="G41" s="15"/>
      <c r="L41" s="1">
        <f>(G40/E28)</f>
        <v>288.071380619716</v>
      </c>
    </row>
    <row r="42" spans="1:7" ht="20.25" customHeight="1">
      <c r="A42" s="8"/>
      <c r="B42" s="8"/>
      <c r="C42" s="7"/>
      <c r="D42" s="9"/>
      <c r="E42" s="8"/>
      <c r="F42" s="8"/>
      <c r="G42" s="19"/>
    </row>
    <row r="43" spans="1:7" ht="21.75" customHeight="1">
      <c r="A43" s="8"/>
      <c r="B43" s="8"/>
      <c r="C43" s="7"/>
      <c r="D43" s="8"/>
      <c r="E43" s="8"/>
      <c r="F43" s="8"/>
      <c r="G43" s="8"/>
    </row>
    <row r="44" spans="1:8" ht="21.75" customHeight="1">
      <c r="A44" s="8"/>
      <c r="B44" s="8"/>
      <c r="C44" s="7"/>
      <c r="D44" s="9"/>
      <c r="E44" s="8"/>
      <c r="F44" s="8"/>
      <c r="G44" s="19"/>
      <c r="H44" s="3">
        <v>447894.3</v>
      </c>
    </row>
    <row r="45" spans="1:8" ht="21.75" customHeight="1">
      <c r="A45" s="8"/>
      <c r="B45" s="8"/>
      <c r="C45" s="7"/>
      <c r="D45" s="9"/>
      <c r="E45" s="8"/>
      <c r="F45" s="8"/>
      <c r="G45" s="19"/>
      <c r="H45" s="3">
        <v>2483777.46</v>
      </c>
    </row>
    <row r="46" spans="1:9" ht="9.75" customHeight="1">
      <c r="A46" s="8"/>
      <c r="B46" s="8"/>
      <c r="C46" s="7"/>
      <c r="D46" s="9"/>
      <c r="E46" s="8"/>
      <c r="F46" s="8"/>
      <c r="G46" s="19"/>
      <c r="H46" s="4">
        <f>G40*5%</f>
        <v>13731.5</v>
      </c>
      <c r="I46" s="5" t="s">
        <v>31</v>
      </c>
    </row>
    <row r="47" spans="1:9" s="7" customFormat="1" ht="12.75">
      <c r="A47" s="8"/>
      <c r="B47" s="8"/>
      <c r="D47" s="9"/>
      <c r="E47" s="8"/>
      <c r="F47" s="8"/>
      <c r="G47" s="324"/>
      <c r="H47" s="11"/>
      <c r="I47" s="10"/>
    </row>
    <row r="48" spans="1:7" s="7" customFormat="1" ht="12.75">
      <c r="A48" s="8"/>
      <c r="B48" s="8"/>
      <c r="D48" s="9"/>
      <c r="E48" s="8"/>
      <c r="F48" s="8"/>
      <c r="G48" s="20"/>
    </row>
    <row r="49" spans="1:9" s="7" customFormat="1" ht="12.75">
      <c r="A49" s="8"/>
      <c r="B49" s="8"/>
      <c r="D49" s="9"/>
      <c r="E49" s="8"/>
      <c r="F49" s="8"/>
      <c r="G49" s="20"/>
      <c r="H49" s="11"/>
      <c r="I49" s="10"/>
    </row>
    <row r="50" spans="1:11" s="7" customFormat="1" ht="18" customHeight="1">
      <c r="A50" s="8"/>
      <c r="B50" s="8"/>
      <c r="D50" s="9"/>
      <c r="E50" s="8"/>
      <c r="F50" s="8"/>
      <c r="G50" s="20"/>
      <c r="H50" s="439"/>
      <c r="I50" s="439"/>
      <c r="J50" s="439"/>
      <c r="K50" s="439"/>
    </row>
    <row r="51" spans="1:11" s="7" customFormat="1" ht="15" customHeight="1">
      <c r="A51" s="8"/>
      <c r="B51" s="8"/>
      <c r="D51" s="9"/>
      <c r="E51" s="8"/>
      <c r="F51" s="8"/>
      <c r="G51" s="20"/>
      <c r="H51" s="439"/>
      <c r="I51" s="439"/>
      <c r="J51" s="439"/>
      <c r="K51" s="439"/>
    </row>
    <row r="52" spans="1:9" s="7" customFormat="1" ht="12.75">
      <c r="A52" s="8"/>
      <c r="B52" s="8"/>
      <c r="D52" s="9"/>
      <c r="E52" s="8"/>
      <c r="F52" s="8"/>
      <c r="G52" s="20"/>
      <c r="H52" s="12"/>
      <c r="I52" s="12"/>
    </row>
    <row r="53" spans="1:11" s="7" customFormat="1" ht="15" customHeight="1">
      <c r="A53" s="8"/>
      <c r="B53" s="8"/>
      <c r="D53" s="9"/>
      <c r="E53" s="8"/>
      <c r="F53" s="8"/>
      <c r="G53" s="21"/>
      <c r="H53" s="438"/>
      <c r="I53" s="438"/>
      <c r="J53" s="438"/>
      <c r="K53" s="438"/>
    </row>
    <row r="54" spans="1:11" s="7" customFormat="1" ht="18.75" customHeight="1">
      <c r="A54" s="8"/>
      <c r="B54" s="8"/>
      <c r="D54" s="9"/>
      <c r="E54" s="8"/>
      <c r="F54" s="8"/>
      <c r="G54" s="20"/>
      <c r="H54" s="438"/>
      <c r="I54" s="438"/>
      <c r="J54" s="438"/>
      <c r="K54" s="438"/>
    </row>
    <row r="55" spans="1:11" s="7" customFormat="1" ht="18.75" customHeight="1">
      <c r="A55" s="18"/>
      <c r="B55" s="437"/>
      <c r="C55" s="437"/>
      <c r="D55" s="437"/>
      <c r="E55" s="437"/>
      <c r="F55" s="437"/>
      <c r="G55" s="437"/>
      <c r="H55" s="438"/>
      <c r="I55" s="438"/>
      <c r="J55" s="438"/>
      <c r="K55" s="438"/>
    </row>
    <row r="56" spans="1:11" s="7" customFormat="1" ht="15" customHeight="1">
      <c r="A56" s="18"/>
      <c r="B56" s="22"/>
      <c r="C56" s="1"/>
      <c r="D56" s="18"/>
      <c r="E56" s="16"/>
      <c r="F56" s="16"/>
      <c r="G56" s="16"/>
      <c r="H56" s="438"/>
      <c r="I56" s="438"/>
      <c r="J56" s="438"/>
      <c r="K56" s="438"/>
    </row>
    <row r="57" spans="1:11" s="7" customFormat="1" ht="18.75" customHeight="1">
      <c r="A57" s="18"/>
      <c r="B57" s="22"/>
      <c r="C57" s="1"/>
      <c r="D57" s="18"/>
      <c r="E57" s="16"/>
      <c r="F57" s="16"/>
      <c r="G57" s="16"/>
      <c r="H57" s="438"/>
      <c r="I57" s="438"/>
      <c r="J57" s="438"/>
      <c r="K57" s="438"/>
    </row>
    <row r="58" spans="1:9" s="7" customFormat="1" ht="12.75">
      <c r="A58" s="18"/>
      <c r="B58" s="22"/>
      <c r="C58" s="1"/>
      <c r="D58" s="18"/>
      <c r="E58" s="16"/>
      <c r="F58" s="16"/>
      <c r="G58" s="16"/>
      <c r="H58" s="6"/>
      <c r="I58" s="6"/>
    </row>
    <row r="59" spans="1:9" s="7" customFormat="1" ht="12.75">
      <c r="A59" s="18"/>
      <c r="B59" s="22"/>
      <c r="C59" s="1"/>
      <c r="D59" s="18"/>
      <c r="E59" s="16"/>
      <c r="F59" s="16"/>
      <c r="G59" s="16"/>
      <c r="H59" s="13">
        <f>H46-I57</f>
        <v>13731.5</v>
      </c>
      <c r="I59" s="6"/>
    </row>
  </sheetData>
  <sheetProtection/>
  <mergeCells count="21">
    <mergeCell ref="A5:G5"/>
    <mergeCell ref="A6:G6"/>
    <mergeCell ref="A7:G7"/>
    <mergeCell ref="A8:C8"/>
    <mergeCell ref="D8:G8"/>
    <mergeCell ref="C1:G4"/>
    <mergeCell ref="A9:A10"/>
    <mergeCell ref="G9:G10"/>
    <mergeCell ref="B9:B10"/>
    <mergeCell ref="C9:C10"/>
    <mergeCell ref="D9:D10"/>
    <mergeCell ref="E9:E10"/>
    <mergeCell ref="F9:F10"/>
    <mergeCell ref="B55:G55"/>
    <mergeCell ref="H56:K56"/>
    <mergeCell ref="H57:K57"/>
    <mergeCell ref="H54:K54"/>
    <mergeCell ref="H55:K55"/>
    <mergeCell ref="H50:K50"/>
    <mergeCell ref="H51:K51"/>
    <mergeCell ref="H53:K53"/>
  </mergeCells>
  <printOptions horizontalCentered="1"/>
  <pageMargins left="0.3937007874015748" right="0.1968503937007874" top="1.5748031496062993" bottom="0.984251968503937" header="0.3937007874015748" footer="0.3937007874015748"/>
  <pageSetup firstPageNumber="1" useFirstPageNumber="1" horizontalDpi="600" verticalDpi="600" orientation="portrait" paperSize="9" scale="65" r:id="rId2"/>
  <headerFooter>
    <oddFooter>&amp;L&amp;P de &amp;N&amp;CAleones José da Cruz Junior
Engº Civil - CREA-GO nº 15296/D&amp;R&amp;"-,Negrito itálico"INSTITUTO FEDERAL DE GOIÁS
CNPJ Nº 10.870.883/0001-44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view="pageBreakPreview" zoomScaleSheetLayoutView="100" zoomScalePageLayoutView="0" workbookViewId="0" topLeftCell="A1">
      <selection activeCell="A23" sqref="A23:I23"/>
    </sheetView>
  </sheetViews>
  <sheetFormatPr defaultColWidth="9.140625" defaultRowHeight="15"/>
  <cols>
    <col min="1" max="1" width="8.57421875" style="112" customWidth="1"/>
    <col min="2" max="2" width="62.00390625" style="103" customWidth="1"/>
    <col min="3" max="3" width="6.00390625" style="103" hidden="1" customWidth="1"/>
    <col min="4" max="4" width="8.140625" style="103" hidden="1" customWidth="1"/>
    <col min="5" max="5" width="21.7109375" style="132" hidden="1" customWidth="1"/>
    <col min="6" max="6" width="15.00390625" style="132" bestFit="1" customWidth="1"/>
    <col min="7" max="8" width="18.7109375" style="114" customWidth="1"/>
    <col min="9" max="9" width="22.7109375" style="103" customWidth="1"/>
    <col min="10" max="16384" width="9.140625" style="103" customWidth="1"/>
  </cols>
  <sheetData>
    <row r="1" spans="1:9" s="123" customFormat="1" ht="24.75" customHeight="1">
      <c r="A1" s="326"/>
      <c r="B1" s="468"/>
      <c r="C1" s="469"/>
      <c r="D1" s="469"/>
      <c r="E1" s="469"/>
      <c r="F1" s="469"/>
      <c r="G1" s="469"/>
      <c r="H1" s="327"/>
      <c r="I1" s="328"/>
    </row>
    <row r="2" spans="1:9" s="123" customFormat="1" ht="24.75" customHeight="1">
      <c r="A2" s="329"/>
      <c r="B2" s="470"/>
      <c r="C2" s="470"/>
      <c r="D2" s="470"/>
      <c r="E2" s="470"/>
      <c r="F2" s="470"/>
      <c r="G2" s="470"/>
      <c r="H2" s="124"/>
      <c r="I2" s="330"/>
    </row>
    <row r="3" spans="1:9" s="106" customFormat="1" ht="15.75">
      <c r="A3" s="471" t="s">
        <v>169</v>
      </c>
      <c r="B3" s="472"/>
      <c r="C3" s="472"/>
      <c r="D3" s="472"/>
      <c r="E3" s="472"/>
      <c r="F3" s="472"/>
      <c r="G3" s="472"/>
      <c r="H3" s="125"/>
      <c r="I3" s="331"/>
    </row>
    <row r="4" spans="1:9" s="106" customFormat="1" ht="12.75">
      <c r="A4" s="473" t="str">
        <f>'Declaração GPI'!A5:G5</f>
        <v>CLIENTE: INSTITUTO FEDERAL DE EDUCAÇAO, CIENCIAS E TECNOLOGIA DE GOIAS - URUAÇU</v>
      </c>
      <c r="B4" s="474"/>
      <c r="C4" s="474"/>
      <c r="D4" s="474"/>
      <c r="E4" s="474"/>
      <c r="F4" s="474"/>
      <c r="G4" s="474"/>
      <c r="H4" s="215"/>
      <c r="I4" s="332"/>
    </row>
    <row r="5" spans="1:9" s="106" customFormat="1" ht="12.75">
      <c r="A5" s="475" t="s">
        <v>244</v>
      </c>
      <c r="B5" s="476"/>
      <c r="C5" s="476"/>
      <c r="D5" s="476"/>
      <c r="E5" s="476"/>
      <c r="F5" s="476"/>
      <c r="G5" s="476"/>
      <c r="H5" s="216"/>
      <c r="I5" s="332"/>
    </row>
    <row r="6" spans="1:9" s="106" customFormat="1" ht="12.75">
      <c r="A6" s="333" t="str">
        <f>Cronograma!A5</f>
        <v>EMPREENDIMENTO: FECHAMENTO DO TERRENO - ÁREA II - ALAMBRADO COM POSTES DE CONCRETO</v>
      </c>
      <c r="B6" s="217"/>
      <c r="C6" s="217"/>
      <c r="D6" s="217"/>
      <c r="E6" s="217"/>
      <c r="F6" s="107"/>
      <c r="G6" s="218"/>
      <c r="H6" s="218"/>
      <c r="I6" s="332"/>
    </row>
    <row r="7" spans="1:9" s="106" customFormat="1" ht="15" customHeight="1">
      <c r="A7" s="334" t="s">
        <v>173</v>
      </c>
      <c r="B7" s="219"/>
      <c r="C7" s="219"/>
      <c r="D7" s="219"/>
      <c r="E7" s="220"/>
      <c r="F7" s="221"/>
      <c r="G7" s="220"/>
      <c r="H7" s="220"/>
      <c r="I7" s="332"/>
    </row>
    <row r="8" spans="1:9" s="106" customFormat="1" ht="15" customHeight="1" thickBot="1">
      <c r="A8" s="257"/>
      <c r="B8" s="223"/>
      <c r="C8" s="223"/>
      <c r="D8" s="223"/>
      <c r="E8" s="224"/>
      <c r="F8" s="224"/>
      <c r="G8" s="224"/>
      <c r="H8" s="224"/>
      <c r="I8" s="335"/>
    </row>
    <row r="9" spans="1:9" s="106" customFormat="1" ht="12.75">
      <c r="A9" s="440" t="s">
        <v>0</v>
      </c>
      <c r="B9" s="446" t="s">
        <v>1</v>
      </c>
      <c r="C9" s="446" t="s">
        <v>13</v>
      </c>
      <c r="D9" s="448" t="s">
        <v>14</v>
      </c>
      <c r="E9" s="448" t="s">
        <v>15</v>
      </c>
      <c r="F9" s="448" t="s">
        <v>186</v>
      </c>
      <c r="G9" s="448" t="s">
        <v>71</v>
      </c>
      <c r="H9" s="225" t="s">
        <v>174</v>
      </c>
      <c r="I9" s="442" t="s">
        <v>16</v>
      </c>
    </row>
    <row r="10" spans="1:9" s="106" customFormat="1" ht="12.75">
      <c r="A10" s="441"/>
      <c r="B10" s="447"/>
      <c r="C10" s="447"/>
      <c r="D10" s="449"/>
      <c r="E10" s="449"/>
      <c r="F10" s="449"/>
      <c r="G10" s="449"/>
      <c r="H10" s="226">
        <f>BDI!D18/100</f>
        <v>0.2764</v>
      </c>
      <c r="I10" s="443"/>
    </row>
    <row r="11" spans="1:9" s="126" customFormat="1" ht="12.75">
      <c r="A11" s="183">
        <v>1</v>
      </c>
      <c r="B11" s="184" t="str">
        <f>('Sintético Completo'!C11)</f>
        <v>SERVIÇOS PRELIMINARES</v>
      </c>
      <c r="C11" s="185"/>
      <c r="D11" s="186"/>
      <c r="E11" s="186"/>
      <c r="F11" s="187">
        <f>SUM('Sintético Completo'!G11)</f>
        <v>18323.92</v>
      </c>
      <c r="G11" s="227">
        <f>(F11/$F$17)</f>
        <v>0.0852</v>
      </c>
      <c r="H11" s="228">
        <f>(F11*BDI!$D$18)/100</f>
        <v>5064.73</v>
      </c>
      <c r="I11" s="313">
        <f>F11+H11</f>
        <v>23388.65</v>
      </c>
    </row>
    <row r="12" spans="1:9" s="126" customFormat="1" ht="12.75">
      <c r="A12" s="183">
        <v>2</v>
      </c>
      <c r="B12" s="184" t="str">
        <f>('Sintético Completo'!C15)</f>
        <v>MOVIMENTO DE TERRA</v>
      </c>
      <c r="C12" s="185"/>
      <c r="D12" s="192"/>
      <c r="E12" s="186"/>
      <c r="F12" s="187">
        <f>SUM('Sintético Completo'!G15)</f>
        <v>11966.22</v>
      </c>
      <c r="G12" s="227">
        <f>(F12/$F$17)</f>
        <v>0.0556</v>
      </c>
      <c r="H12" s="228">
        <f>(F12*BDI!$D$18)/100</f>
        <v>3307.46</v>
      </c>
      <c r="I12" s="313">
        <f>F12+H12</f>
        <v>15273.68</v>
      </c>
    </row>
    <row r="13" spans="1:9" s="126" customFormat="1" ht="12.75">
      <c r="A13" s="183">
        <v>3</v>
      </c>
      <c r="B13" s="184" t="str">
        <f>('Sintético Completo'!C18)</f>
        <v>ALAMBRADO COM MOURÃO DE CONCRETO</v>
      </c>
      <c r="C13" s="196"/>
      <c r="D13" s="192"/>
      <c r="E13" s="186"/>
      <c r="F13" s="187">
        <f>SUM('Sintético Completo'!G18)</f>
        <v>118433.74</v>
      </c>
      <c r="G13" s="227">
        <f>(F13/$F$17)</f>
        <v>0.5504</v>
      </c>
      <c r="H13" s="228">
        <f>(F13*BDI!$D$18)/100</f>
        <v>32735.09</v>
      </c>
      <c r="I13" s="313">
        <f>F13+H13</f>
        <v>151168.83</v>
      </c>
    </row>
    <row r="14" spans="1:9" s="126" customFormat="1" ht="12.75">
      <c r="A14" s="183">
        <v>4</v>
      </c>
      <c r="B14" s="184" t="str">
        <f>('Sintético Completo'!C29)</f>
        <v>DIVERSOS</v>
      </c>
      <c r="C14" s="206"/>
      <c r="D14" s="207"/>
      <c r="E14" s="208"/>
      <c r="F14" s="187">
        <f>SUM('Sintético Completo'!G29)</f>
        <v>66435.92</v>
      </c>
      <c r="G14" s="227">
        <f>(F14/$F$17)</f>
        <v>0.3088</v>
      </c>
      <c r="H14" s="228">
        <f>(F14*BDI!$D$18)/100</f>
        <v>18362.89</v>
      </c>
      <c r="I14" s="313">
        <f>F14+H14</f>
        <v>84798.81</v>
      </c>
    </row>
    <row r="15" spans="1:9" s="126" customFormat="1" ht="10.5" customHeight="1">
      <c r="A15" s="229"/>
      <c r="B15" s="230"/>
      <c r="C15" s="231"/>
      <c r="D15" s="232"/>
      <c r="E15" s="233"/>
      <c r="F15" s="234"/>
      <c r="G15" s="139"/>
      <c r="H15" s="139"/>
      <c r="I15" s="336"/>
    </row>
    <row r="16" spans="1:9" s="126" customFormat="1" ht="17.25" customHeight="1" thickBot="1">
      <c r="A16" s="229"/>
      <c r="B16" s="235"/>
      <c r="C16" s="236"/>
      <c r="D16" s="232"/>
      <c r="E16" s="234"/>
      <c r="F16" s="234"/>
      <c r="G16" s="139"/>
      <c r="H16" s="139"/>
      <c r="I16" s="336"/>
    </row>
    <row r="17" spans="1:9" s="126" customFormat="1" ht="16.5" customHeight="1">
      <c r="A17" s="237"/>
      <c r="B17" s="238" t="s">
        <v>29</v>
      </c>
      <c r="C17" s="239"/>
      <c r="D17" s="240"/>
      <c r="E17" s="240"/>
      <c r="F17" s="240">
        <f>SUM(F11,F12,F13,F14)</f>
        <v>215159.8</v>
      </c>
      <c r="G17" s="241">
        <f>G11+G12+G13+G14</f>
        <v>1</v>
      </c>
      <c r="H17" s="240">
        <f>(H11+H12+H13+H14)</f>
        <v>59470.17</v>
      </c>
      <c r="I17" s="242">
        <f>(I11+I12+I13+I14)</f>
        <v>274629.97</v>
      </c>
    </row>
    <row r="18" spans="1:9" s="126" customFormat="1" ht="19.5" customHeight="1">
      <c r="A18" s="243">
        <f>BDI!D18/100</f>
        <v>0.2764</v>
      </c>
      <c r="B18" s="244" t="s">
        <v>187</v>
      </c>
      <c r="C18" s="245"/>
      <c r="D18" s="246"/>
      <c r="E18" s="246"/>
      <c r="F18" s="246">
        <f>F17*A18</f>
        <v>59470.17</v>
      </c>
      <c r="G18" s="246"/>
      <c r="H18" s="246"/>
      <c r="I18" s="247"/>
    </row>
    <row r="19" spans="1:9" s="126" customFormat="1" ht="19.5" customHeight="1" thickBot="1">
      <c r="A19" s="248"/>
      <c r="B19" s="249" t="s">
        <v>188</v>
      </c>
      <c r="C19" s="250"/>
      <c r="D19" s="251"/>
      <c r="E19" s="251"/>
      <c r="F19" s="251">
        <f>SUM(F17:F18)</f>
        <v>274629.97</v>
      </c>
      <c r="G19" s="251"/>
      <c r="H19" s="251"/>
      <c r="I19" s="252"/>
    </row>
    <row r="20" spans="1:8" ht="12">
      <c r="A20" s="127"/>
      <c r="B20" s="128"/>
      <c r="C20" s="128"/>
      <c r="D20" s="128"/>
      <c r="E20" s="129"/>
      <c r="F20" s="129"/>
      <c r="G20" s="130"/>
      <c r="H20" s="130"/>
    </row>
    <row r="21" spans="1:6" ht="11.25">
      <c r="A21" s="131"/>
      <c r="B21" s="104"/>
      <c r="C21" s="104"/>
      <c r="D21" s="104"/>
      <c r="E21" s="110"/>
      <c r="F21" s="110"/>
    </row>
    <row r="22" spans="1:9" ht="15" customHeight="1">
      <c r="A22" s="477" t="s">
        <v>168</v>
      </c>
      <c r="B22" s="477"/>
      <c r="C22" s="477"/>
      <c r="D22" s="477"/>
      <c r="E22" s="477"/>
      <c r="F22" s="477"/>
      <c r="G22" s="477"/>
      <c r="H22" s="477"/>
      <c r="I22" s="477"/>
    </row>
    <row r="23" spans="1:9" s="143" customFormat="1" ht="15" customHeight="1">
      <c r="A23" s="477" t="s">
        <v>170</v>
      </c>
      <c r="B23" s="477"/>
      <c r="C23" s="477"/>
      <c r="D23" s="477"/>
      <c r="E23" s="477"/>
      <c r="F23" s="477"/>
      <c r="G23" s="477"/>
      <c r="H23" s="477"/>
      <c r="I23" s="477"/>
    </row>
    <row r="24" spans="1:9" ht="15" customHeight="1">
      <c r="A24" s="477" t="s">
        <v>171</v>
      </c>
      <c r="B24" s="477"/>
      <c r="C24" s="477"/>
      <c r="D24" s="477"/>
      <c r="E24" s="477"/>
      <c r="F24" s="477"/>
      <c r="G24" s="477"/>
      <c r="H24" s="477"/>
      <c r="I24" s="477"/>
    </row>
    <row r="25" spans="1:9" ht="15" customHeight="1">
      <c r="A25" s="477" t="s">
        <v>172</v>
      </c>
      <c r="B25" s="477"/>
      <c r="C25" s="477"/>
      <c r="D25" s="477"/>
      <c r="E25" s="477"/>
      <c r="F25" s="477"/>
      <c r="G25" s="477"/>
      <c r="H25" s="477"/>
      <c r="I25" s="477"/>
    </row>
    <row r="26" spans="1:6" ht="11.25">
      <c r="A26" s="131"/>
      <c r="B26" s="104"/>
      <c r="C26" s="104"/>
      <c r="D26" s="104"/>
      <c r="E26" s="110"/>
      <c r="F26" s="110"/>
    </row>
  </sheetData>
  <sheetProtection/>
  <mergeCells count="16">
    <mergeCell ref="A25:I25"/>
    <mergeCell ref="B9:B10"/>
    <mergeCell ref="C9:C10"/>
    <mergeCell ref="A22:I22"/>
    <mergeCell ref="A23:I23"/>
    <mergeCell ref="A24:I24"/>
    <mergeCell ref="D9:D10"/>
    <mergeCell ref="E9:E10"/>
    <mergeCell ref="I9:I10"/>
    <mergeCell ref="F9:F10"/>
    <mergeCell ref="G9:G10"/>
    <mergeCell ref="B1:G2"/>
    <mergeCell ref="A3:G3"/>
    <mergeCell ref="A4:G4"/>
    <mergeCell ref="A5:G5"/>
    <mergeCell ref="A9:A10"/>
  </mergeCells>
  <printOptions horizont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96" r:id="rId2"/>
  <headerFooter>
    <oddFooter>&amp;RPágina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showGridLines="0" view="pageBreakPreview" zoomScale="85" zoomScaleNormal="85" zoomScaleSheetLayoutView="85" zoomScalePageLayoutView="0" workbookViewId="0" topLeftCell="A1">
      <selection activeCell="L145" sqref="L145"/>
    </sheetView>
  </sheetViews>
  <sheetFormatPr defaultColWidth="9.140625" defaultRowHeight="15"/>
  <cols>
    <col min="1" max="1" width="8.7109375" style="112" customWidth="1"/>
    <col min="2" max="2" width="40.7109375" style="103" customWidth="1"/>
    <col min="3" max="6" width="5.7109375" style="103" hidden="1" customWidth="1"/>
    <col min="7" max="7" width="16.28125" style="113" customWidth="1"/>
    <col min="8" max="8" width="17.8515625" style="114" customWidth="1"/>
    <col min="9" max="11" width="11.7109375" style="115" customWidth="1"/>
    <col min="12" max="12" width="14.28125" style="115" customWidth="1"/>
    <col min="13" max="13" width="13.140625" style="103" bestFit="1" customWidth="1"/>
    <col min="14" max="16384" width="9.140625" style="103" customWidth="1"/>
  </cols>
  <sheetData>
    <row r="1" spans="1:12" ht="30" customHeight="1">
      <c r="A1" s="150"/>
      <c r="B1" s="151"/>
      <c r="C1" s="151"/>
      <c r="D1" s="151"/>
      <c r="E1" s="151"/>
      <c r="F1" s="151"/>
      <c r="G1" s="152"/>
      <c r="H1" s="153"/>
      <c r="I1" s="154"/>
      <c r="J1" s="154"/>
      <c r="K1" s="154"/>
      <c r="L1" s="155"/>
    </row>
    <row r="2" spans="1:12" ht="33.75" customHeight="1">
      <c r="A2" s="145"/>
      <c r="B2" s="104"/>
      <c r="C2" s="104"/>
      <c r="D2" s="104"/>
      <c r="E2" s="104"/>
      <c r="F2" s="104"/>
      <c r="G2" s="147"/>
      <c r="H2" s="141"/>
      <c r="I2" s="146"/>
      <c r="J2" s="146"/>
      <c r="K2" s="146"/>
      <c r="L2" s="156"/>
    </row>
    <row r="3" spans="1:12" s="105" customFormat="1" ht="18" customHeight="1">
      <c r="A3" s="510" t="s">
        <v>96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2"/>
    </row>
    <row r="4" spans="1:12" s="106" customFormat="1" ht="18" customHeight="1">
      <c r="A4" s="140" t="str">
        <f>'Declaração GPI'!A5:G5</f>
        <v>CLIENTE: INSTITUTO FEDERAL DE EDUCAÇAO, CIENCIAS E TECNOLOGIA DE GOIAS - URUAÇU</v>
      </c>
      <c r="B4" s="135"/>
      <c r="C4" s="135"/>
      <c r="D4" s="135"/>
      <c r="E4" s="135"/>
      <c r="F4" s="135"/>
      <c r="G4" s="135"/>
      <c r="H4" s="215"/>
      <c r="I4" s="215"/>
      <c r="J4" s="215"/>
      <c r="K4" s="215"/>
      <c r="L4" s="253"/>
    </row>
    <row r="5" spans="1:12" s="106" customFormat="1" ht="18" customHeight="1">
      <c r="A5" s="254" t="s">
        <v>189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6"/>
    </row>
    <row r="6" spans="1:12" s="106" customFormat="1" ht="18" customHeight="1">
      <c r="A6" s="257" t="s">
        <v>256</v>
      </c>
      <c r="B6" s="223"/>
      <c r="C6" s="223"/>
      <c r="D6" s="223"/>
      <c r="E6" s="223"/>
      <c r="F6" s="223"/>
      <c r="G6" s="222" t="s">
        <v>97</v>
      </c>
      <c r="H6" s="513">
        <f>953.342*2.3</f>
        <v>2192.69</v>
      </c>
      <c r="I6" s="514"/>
      <c r="J6" s="393"/>
      <c r="K6" s="393"/>
      <c r="L6" s="258" t="s">
        <v>4</v>
      </c>
    </row>
    <row r="7" spans="1:12" s="106" customFormat="1" ht="18" customHeight="1">
      <c r="A7" s="254"/>
      <c r="B7" s="255"/>
      <c r="C7" s="255"/>
      <c r="D7" s="255"/>
      <c r="E7" s="255"/>
      <c r="F7" s="255"/>
      <c r="G7" s="515" t="s">
        <v>98</v>
      </c>
      <c r="H7" s="516"/>
      <c r="I7" s="516"/>
      <c r="J7" s="392"/>
      <c r="K7" s="392"/>
      <c r="L7" s="259">
        <f>H139/H6</f>
        <v>125.25</v>
      </c>
    </row>
    <row r="8" spans="1:12" s="106" customFormat="1" ht="18" customHeight="1">
      <c r="A8" s="517" t="s">
        <v>0</v>
      </c>
      <c r="B8" s="519" t="s">
        <v>65</v>
      </c>
      <c r="C8" s="519"/>
      <c r="D8" s="519"/>
      <c r="E8" s="519"/>
      <c r="F8" s="519"/>
      <c r="G8" s="521" t="s">
        <v>99</v>
      </c>
      <c r="H8" s="502" t="s">
        <v>100</v>
      </c>
      <c r="I8" s="504" t="s">
        <v>253</v>
      </c>
      <c r="J8" s="505"/>
      <c r="K8" s="505"/>
      <c r="L8" s="506"/>
    </row>
    <row r="9" spans="1:12" s="106" customFormat="1" ht="18" customHeight="1">
      <c r="A9" s="518"/>
      <c r="B9" s="520"/>
      <c r="C9" s="520"/>
      <c r="D9" s="520"/>
      <c r="E9" s="520"/>
      <c r="F9" s="520"/>
      <c r="G9" s="522"/>
      <c r="H9" s="503"/>
      <c r="I9" s="260" t="s">
        <v>101</v>
      </c>
      <c r="J9" s="260" t="s">
        <v>102</v>
      </c>
      <c r="K9" s="260" t="s">
        <v>254</v>
      </c>
      <c r="L9" s="260" t="s">
        <v>255</v>
      </c>
    </row>
    <row r="10" spans="1:12" s="106" customFormat="1" ht="15" customHeight="1" thickBot="1">
      <c r="A10" s="507" t="s">
        <v>103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9"/>
    </row>
    <row r="11" spans="1:12" s="106" customFormat="1" ht="15" customHeight="1">
      <c r="A11" s="500">
        <v>1</v>
      </c>
      <c r="B11" s="496" t="str">
        <f>VLOOKUP(A11,Resumo!$A$11:$G$22,2,FALSE)</f>
        <v>SERVIÇOS PRELIMINARES</v>
      </c>
      <c r="C11" s="261"/>
      <c r="D11" s="261"/>
      <c r="E11" s="261"/>
      <c r="F11" s="261"/>
      <c r="G11" s="498">
        <f>Resumo!G11</f>
        <v>0.0852</v>
      </c>
      <c r="H11" s="262">
        <f>SUM(I11:L11)</f>
        <v>1</v>
      </c>
      <c r="I11" s="263">
        <v>1</v>
      </c>
      <c r="J11" s="263">
        <v>0</v>
      </c>
      <c r="K11" s="263">
        <v>0</v>
      </c>
      <c r="L11" s="264">
        <v>0</v>
      </c>
    </row>
    <row r="12" spans="1:12" s="106" customFormat="1" ht="15" customHeight="1" thickBot="1">
      <c r="A12" s="501"/>
      <c r="B12" s="497"/>
      <c r="C12" s="265"/>
      <c r="D12" s="265"/>
      <c r="E12" s="265"/>
      <c r="F12" s="265"/>
      <c r="G12" s="499"/>
      <c r="H12" s="266">
        <f>Resumo!I11</f>
        <v>23388.65</v>
      </c>
      <c r="I12" s="267">
        <f>$H$12*I11</f>
        <v>23388.65</v>
      </c>
      <c r="J12" s="267">
        <f>$H$12*J11</f>
        <v>0</v>
      </c>
      <c r="K12" s="267">
        <f>$H$12*K11</f>
        <v>0</v>
      </c>
      <c r="L12" s="267">
        <f>$H$12*L11</f>
        <v>0</v>
      </c>
    </row>
    <row r="13" spans="1:12" s="107" customFormat="1" ht="15" customHeight="1" hidden="1">
      <c r="A13" s="478" t="s">
        <v>104</v>
      </c>
      <c r="B13" s="496" t="e">
        <f>VLOOKUP(A13,Resumo!$A$11:$G$618,2,FALSE)</f>
        <v>#N/A</v>
      </c>
      <c r="C13" s="268"/>
      <c r="D13" s="268"/>
      <c r="E13" s="268"/>
      <c r="F13" s="268"/>
      <c r="G13" s="498" t="e">
        <f>VLOOKUP(A13,Resumo!$A$11:$H$22,6,FALSE)</f>
        <v>#N/A</v>
      </c>
      <c r="H13" s="484">
        <f>VLOOKUP(A13,'[3]Resumo'!$A$11:$H$645,8,FALSE)</f>
        <v>25648.15</v>
      </c>
      <c r="I13" s="269">
        <v>1</v>
      </c>
      <c r="J13" s="269">
        <v>1</v>
      </c>
      <c r="K13" s="269">
        <v>1</v>
      </c>
      <c r="L13" s="270"/>
    </row>
    <row r="14" spans="1:12" s="107" customFormat="1" ht="15" customHeight="1" hidden="1">
      <c r="A14" s="492"/>
      <c r="B14" s="497"/>
      <c r="C14" s="271"/>
      <c r="D14" s="271"/>
      <c r="E14" s="271"/>
      <c r="F14" s="271"/>
      <c r="G14" s="499"/>
      <c r="H14" s="495"/>
      <c r="I14" s="272">
        <f>H13*I13</f>
        <v>25648.15</v>
      </c>
      <c r="J14" s="272">
        <f>I13*J13</f>
        <v>1</v>
      </c>
      <c r="K14" s="272">
        <f>J13*K13</f>
        <v>1</v>
      </c>
      <c r="L14" s="273">
        <f>H13*L13</f>
        <v>0</v>
      </c>
    </row>
    <row r="15" spans="1:12" s="107" customFormat="1" ht="15" customHeight="1" hidden="1">
      <c r="A15" s="478" t="s">
        <v>105</v>
      </c>
      <c r="B15" s="496" t="e">
        <f>VLOOKUP(A15,Resumo!$A$11:$G$618,2,FALSE)</f>
        <v>#N/A</v>
      </c>
      <c r="C15" s="268"/>
      <c r="D15" s="268"/>
      <c r="E15" s="268"/>
      <c r="F15" s="268"/>
      <c r="G15" s="498" t="e">
        <f>VLOOKUP(A15,Resumo!$A$11:$H$22,6,FALSE)</f>
        <v>#N/A</v>
      </c>
      <c r="H15" s="484">
        <f>VLOOKUP(A15,'[3]Resumo'!$A$11:$H$645,8,FALSE)</f>
        <v>3261.42</v>
      </c>
      <c r="I15" s="269">
        <v>1</v>
      </c>
      <c r="J15" s="269">
        <v>1</v>
      </c>
      <c r="K15" s="269">
        <v>1</v>
      </c>
      <c r="L15" s="270"/>
    </row>
    <row r="16" spans="1:12" s="107" customFormat="1" ht="15" customHeight="1" hidden="1">
      <c r="A16" s="492"/>
      <c r="B16" s="497"/>
      <c r="C16" s="271"/>
      <c r="D16" s="271"/>
      <c r="E16" s="271"/>
      <c r="F16" s="271"/>
      <c r="G16" s="499"/>
      <c r="H16" s="495"/>
      <c r="I16" s="272">
        <f>H15*I15</f>
        <v>3261.42</v>
      </c>
      <c r="J16" s="272">
        <f>I15*J15</f>
        <v>1</v>
      </c>
      <c r="K16" s="272">
        <f>J15*K15</f>
        <v>1</v>
      </c>
      <c r="L16" s="273">
        <f>H15*L15</f>
        <v>0</v>
      </c>
    </row>
    <row r="17" spans="1:12" s="107" customFormat="1" ht="15" customHeight="1" hidden="1">
      <c r="A17" s="478" t="s">
        <v>106</v>
      </c>
      <c r="B17" s="496" t="e">
        <f>VLOOKUP(A17,Resumo!$A$11:$G$618,2,FALSE)</f>
        <v>#N/A</v>
      </c>
      <c r="C17" s="268"/>
      <c r="D17" s="268"/>
      <c r="E17" s="268"/>
      <c r="F17" s="268"/>
      <c r="G17" s="498" t="e">
        <f>VLOOKUP(A17,Resumo!$A$11:$H$22,6,FALSE)</f>
        <v>#N/A</v>
      </c>
      <c r="H17" s="484">
        <f>VLOOKUP(A17,'[3]Resumo'!$A$11:$H$645,8,FALSE)</f>
        <v>264641.41</v>
      </c>
      <c r="I17" s="274">
        <v>0.35</v>
      </c>
      <c r="J17" s="274">
        <v>0.35</v>
      </c>
      <c r="K17" s="274">
        <v>0.35</v>
      </c>
      <c r="L17" s="275">
        <v>0.65</v>
      </c>
    </row>
    <row r="18" spans="1:12" s="107" customFormat="1" ht="15" customHeight="1" hidden="1">
      <c r="A18" s="492"/>
      <c r="B18" s="497"/>
      <c r="C18" s="271"/>
      <c r="D18" s="271"/>
      <c r="E18" s="271"/>
      <c r="F18" s="271"/>
      <c r="G18" s="499"/>
      <c r="H18" s="495"/>
      <c r="I18" s="272">
        <f>H17*I17</f>
        <v>92624.49</v>
      </c>
      <c r="J18" s="272">
        <f>I17*J17</f>
        <v>0.12</v>
      </c>
      <c r="K18" s="272">
        <f>J17*K17</f>
        <v>0.12</v>
      </c>
      <c r="L18" s="273">
        <f>H17*L17</f>
        <v>172016.92</v>
      </c>
    </row>
    <row r="19" spans="1:12" s="107" customFormat="1" ht="15" customHeight="1" hidden="1">
      <c r="A19" s="478" t="s">
        <v>107</v>
      </c>
      <c r="B19" s="496" t="e">
        <f>VLOOKUP(A19,Resumo!$A$11:$G$618,2,FALSE)</f>
        <v>#N/A</v>
      </c>
      <c r="C19" s="268"/>
      <c r="D19" s="268"/>
      <c r="E19" s="268"/>
      <c r="F19" s="268"/>
      <c r="G19" s="498" t="e">
        <f>VLOOKUP(A19,Resumo!$A$11:$H$22,6,FALSE)</f>
        <v>#N/A</v>
      </c>
      <c r="H19" s="484">
        <f>VLOOKUP(A19,'[3]Resumo'!$A$11:$H$645,8,FALSE)</f>
        <v>4638.04</v>
      </c>
      <c r="I19" s="274">
        <v>0.5</v>
      </c>
      <c r="J19" s="274">
        <v>0.5</v>
      </c>
      <c r="K19" s="274">
        <v>0.5</v>
      </c>
      <c r="L19" s="275">
        <v>0.5</v>
      </c>
    </row>
    <row r="20" spans="1:12" s="107" customFormat="1" ht="15" customHeight="1" hidden="1">
      <c r="A20" s="492"/>
      <c r="B20" s="497"/>
      <c r="C20" s="271"/>
      <c r="D20" s="271"/>
      <c r="E20" s="271"/>
      <c r="F20" s="271"/>
      <c r="G20" s="499"/>
      <c r="H20" s="495"/>
      <c r="I20" s="272">
        <f>H19*I19</f>
        <v>2319.02</v>
      </c>
      <c r="J20" s="272">
        <f>I19*J19</f>
        <v>0.25</v>
      </c>
      <c r="K20" s="272">
        <f>J19*K19</f>
        <v>0.25</v>
      </c>
      <c r="L20" s="273">
        <f>H19*L19</f>
        <v>2319.02</v>
      </c>
    </row>
    <row r="21" spans="1:12" s="107" customFormat="1" ht="15" customHeight="1" hidden="1">
      <c r="A21" s="478" t="s">
        <v>108</v>
      </c>
      <c r="B21" s="496" t="e">
        <f>VLOOKUP(A21,Resumo!$A$11:$G$618,2,FALSE)</f>
        <v>#N/A</v>
      </c>
      <c r="C21" s="268"/>
      <c r="D21" s="268"/>
      <c r="E21" s="268"/>
      <c r="F21" s="268"/>
      <c r="G21" s="498" t="e">
        <f>VLOOKUP(A21,Resumo!$A$11:$H$22,6,FALSE)</f>
        <v>#N/A</v>
      </c>
      <c r="H21" s="484">
        <f>VLOOKUP(A21,'[3]Resumo'!$A$11:$H$645,8,FALSE)</f>
        <v>39579.44</v>
      </c>
      <c r="I21" s="276"/>
      <c r="J21" s="276"/>
      <c r="K21" s="276"/>
      <c r="L21" s="275">
        <v>0.5</v>
      </c>
    </row>
    <row r="22" spans="1:12" s="107" customFormat="1" ht="15" customHeight="1" hidden="1">
      <c r="A22" s="492"/>
      <c r="B22" s="497"/>
      <c r="C22" s="271"/>
      <c r="D22" s="271"/>
      <c r="E22" s="271"/>
      <c r="F22" s="271"/>
      <c r="G22" s="499"/>
      <c r="H22" s="495"/>
      <c r="I22" s="272">
        <f>H21*I21</f>
        <v>0</v>
      </c>
      <c r="J22" s="272">
        <f>I21*J21</f>
        <v>0</v>
      </c>
      <c r="K22" s="272">
        <f>J21*K21</f>
        <v>0</v>
      </c>
      <c r="L22" s="273">
        <f>H21*L21</f>
        <v>19789.72</v>
      </c>
    </row>
    <row r="23" spans="1:12" s="107" customFormat="1" ht="15" customHeight="1" hidden="1">
      <c r="A23" s="478" t="s">
        <v>109</v>
      </c>
      <c r="B23" s="496" t="e">
        <f>VLOOKUP(A23,Resumo!$A$11:$G$618,2,FALSE)</f>
        <v>#N/A</v>
      </c>
      <c r="C23" s="268"/>
      <c r="D23" s="268"/>
      <c r="E23" s="268"/>
      <c r="F23" s="268"/>
      <c r="G23" s="498" t="e">
        <f>VLOOKUP(A23,Resumo!$A$11:$H$22,6,FALSE)</f>
        <v>#N/A</v>
      </c>
      <c r="H23" s="484">
        <f>VLOOKUP(A23,'[3]Resumo'!$A$11:$H$645,8,FALSE)</f>
        <v>10604.09</v>
      </c>
      <c r="I23" s="276"/>
      <c r="J23" s="276"/>
      <c r="K23" s="276"/>
      <c r="L23" s="275">
        <v>0.8</v>
      </c>
    </row>
    <row r="24" spans="1:12" s="107" customFormat="1" ht="15" customHeight="1" hidden="1">
      <c r="A24" s="492"/>
      <c r="B24" s="497"/>
      <c r="C24" s="271"/>
      <c r="D24" s="271"/>
      <c r="E24" s="271"/>
      <c r="F24" s="271"/>
      <c r="G24" s="499"/>
      <c r="H24" s="495"/>
      <c r="I24" s="272">
        <f>H23*I23</f>
        <v>0</v>
      </c>
      <c r="J24" s="272">
        <f>I23*J23</f>
        <v>0</v>
      </c>
      <c r="K24" s="272">
        <f>J23*K23</f>
        <v>0</v>
      </c>
      <c r="L24" s="273">
        <f>H23*L23</f>
        <v>8483.27</v>
      </c>
    </row>
    <row r="25" spans="1:12" s="107" customFormat="1" ht="15" customHeight="1" hidden="1">
      <c r="A25" s="478" t="s">
        <v>110</v>
      </c>
      <c r="B25" s="496" t="e">
        <f>VLOOKUP(A25,Resumo!$A$11:$G$618,2,FALSE)</f>
        <v>#N/A</v>
      </c>
      <c r="C25" s="268"/>
      <c r="D25" s="268"/>
      <c r="E25" s="268"/>
      <c r="F25" s="268"/>
      <c r="G25" s="498" t="e">
        <f>VLOOKUP(A25,Resumo!$A$11:$H$22,6,FALSE)</f>
        <v>#N/A</v>
      </c>
      <c r="H25" s="484">
        <f>VLOOKUP(A25,'[3]Resumo'!$A$11:$H$645,8,FALSE)</f>
        <v>60272.49</v>
      </c>
      <c r="I25" s="276"/>
      <c r="J25" s="276"/>
      <c r="K25" s="276"/>
      <c r="L25" s="275">
        <v>0.3</v>
      </c>
    </row>
    <row r="26" spans="1:12" s="107" customFormat="1" ht="15" customHeight="1" hidden="1">
      <c r="A26" s="492"/>
      <c r="B26" s="497"/>
      <c r="C26" s="271"/>
      <c r="D26" s="271"/>
      <c r="E26" s="271"/>
      <c r="F26" s="271"/>
      <c r="G26" s="499"/>
      <c r="H26" s="495"/>
      <c r="I26" s="272">
        <f>H25*I25</f>
        <v>0</v>
      </c>
      <c r="J26" s="272">
        <f>I25*J25</f>
        <v>0</v>
      </c>
      <c r="K26" s="272">
        <f>J25*K25</f>
        <v>0</v>
      </c>
      <c r="L26" s="273">
        <f>H25*L25</f>
        <v>18081.75</v>
      </c>
    </row>
    <row r="27" spans="1:12" s="107" customFormat="1" ht="15" customHeight="1" hidden="1">
      <c r="A27" s="478" t="s">
        <v>111</v>
      </c>
      <c r="B27" s="496" t="e">
        <f>VLOOKUP(A27,Resumo!$A$11:$G$618,2,FALSE)</f>
        <v>#N/A</v>
      </c>
      <c r="C27" s="268"/>
      <c r="D27" s="268"/>
      <c r="E27" s="268"/>
      <c r="F27" s="268"/>
      <c r="G27" s="498" t="e">
        <f>VLOOKUP(A27,Resumo!$A$11:$H$22,6,FALSE)</f>
        <v>#N/A</v>
      </c>
      <c r="H27" s="484">
        <f>VLOOKUP(A27,'[3]Resumo'!$A$11:$H$645,8,FALSE)</f>
        <v>37513.41</v>
      </c>
      <c r="I27" s="274"/>
      <c r="J27" s="274"/>
      <c r="K27" s="274"/>
      <c r="L27" s="275">
        <v>0.6</v>
      </c>
    </row>
    <row r="28" spans="1:12" s="107" customFormat="1" ht="15" customHeight="1" hidden="1">
      <c r="A28" s="492"/>
      <c r="B28" s="497"/>
      <c r="C28" s="271"/>
      <c r="D28" s="271"/>
      <c r="E28" s="271"/>
      <c r="F28" s="271"/>
      <c r="G28" s="499"/>
      <c r="H28" s="495"/>
      <c r="I28" s="272">
        <f>H27*I27</f>
        <v>0</v>
      </c>
      <c r="J28" s="272">
        <f>I27*J27</f>
        <v>0</v>
      </c>
      <c r="K28" s="272">
        <f>J27*K27</f>
        <v>0</v>
      </c>
      <c r="L28" s="273">
        <f>H27*L27</f>
        <v>22508.05</v>
      </c>
    </row>
    <row r="29" spans="1:12" s="107" customFormat="1" ht="15" customHeight="1" hidden="1">
      <c r="A29" s="478" t="s">
        <v>112</v>
      </c>
      <c r="B29" s="496" t="e">
        <f>VLOOKUP(A29,Resumo!$A$11:$G$618,2,FALSE)</f>
        <v>#N/A</v>
      </c>
      <c r="C29" s="268"/>
      <c r="D29" s="268"/>
      <c r="E29" s="268"/>
      <c r="F29" s="268"/>
      <c r="G29" s="498" t="e">
        <f>VLOOKUP(A29,Resumo!$A$11:$H$22,6,FALSE)</f>
        <v>#N/A</v>
      </c>
      <c r="H29" s="484">
        <f>VLOOKUP(A29,'[3]Resumo'!$A$11:$H$645,8,FALSE)</f>
        <v>10993.01</v>
      </c>
      <c r="I29" s="274"/>
      <c r="J29" s="274"/>
      <c r="K29" s="274"/>
      <c r="L29" s="275">
        <v>1</v>
      </c>
    </row>
    <row r="30" spans="1:12" s="107" customFormat="1" ht="15" customHeight="1" hidden="1">
      <c r="A30" s="492"/>
      <c r="B30" s="497"/>
      <c r="C30" s="271"/>
      <c r="D30" s="271"/>
      <c r="E30" s="271"/>
      <c r="F30" s="271"/>
      <c r="G30" s="499"/>
      <c r="H30" s="495"/>
      <c r="I30" s="272">
        <f>H29*I29</f>
        <v>0</v>
      </c>
      <c r="J30" s="272">
        <f>I29*J29</f>
        <v>0</v>
      </c>
      <c r="K30" s="272">
        <f>J29*K29</f>
        <v>0</v>
      </c>
      <c r="L30" s="273">
        <f>H29*L29</f>
        <v>10993.01</v>
      </c>
    </row>
    <row r="31" spans="1:12" s="107" customFormat="1" ht="15" customHeight="1" hidden="1">
      <c r="A31" s="478" t="s">
        <v>113</v>
      </c>
      <c r="B31" s="496" t="e">
        <f>VLOOKUP(A31,Resumo!$A$11:$G$618,2,FALSE)</f>
        <v>#N/A</v>
      </c>
      <c r="C31" s="268"/>
      <c r="D31" s="268"/>
      <c r="E31" s="268"/>
      <c r="F31" s="268"/>
      <c r="G31" s="498" t="e">
        <f>VLOOKUP(A31,Resumo!$A$11:$H$22,6,FALSE)</f>
        <v>#N/A</v>
      </c>
      <c r="H31" s="484">
        <f>VLOOKUP(A31,'[3]Resumo'!$A$11:$H$645,8,FALSE)</f>
        <v>26135.21</v>
      </c>
      <c r="I31" s="274"/>
      <c r="J31" s="274"/>
      <c r="K31" s="274"/>
      <c r="L31" s="275"/>
    </row>
    <row r="32" spans="1:12" s="107" customFormat="1" ht="15" customHeight="1" hidden="1">
      <c r="A32" s="492"/>
      <c r="B32" s="497"/>
      <c r="C32" s="271"/>
      <c r="D32" s="271"/>
      <c r="E32" s="271"/>
      <c r="F32" s="271"/>
      <c r="G32" s="499"/>
      <c r="H32" s="495"/>
      <c r="I32" s="272">
        <f>H31*I31</f>
        <v>0</v>
      </c>
      <c r="J32" s="272">
        <f>I31*J31</f>
        <v>0</v>
      </c>
      <c r="K32" s="272">
        <f>J31*K31</f>
        <v>0</v>
      </c>
      <c r="L32" s="273">
        <f>H31*L31</f>
        <v>0</v>
      </c>
    </row>
    <row r="33" spans="1:12" s="107" customFormat="1" ht="15" customHeight="1" hidden="1">
      <c r="A33" s="478" t="s">
        <v>114</v>
      </c>
      <c r="B33" s="496" t="e">
        <f>VLOOKUP(A33,Resumo!$A$11:$G$618,2,FALSE)</f>
        <v>#N/A</v>
      </c>
      <c r="C33" s="268"/>
      <c r="D33" s="268"/>
      <c r="E33" s="268"/>
      <c r="F33" s="268"/>
      <c r="G33" s="498" t="e">
        <f>VLOOKUP(A33,Resumo!$A$11:$H$22,6,FALSE)</f>
        <v>#N/A</v>
      </c>
      <c r="H33" s="484">
        <f>VLOOKUP(A33,'[3]Resumo'!$A$11:$H$645,8,FALSE)</f>
        <v>14357.91</v>
      </c>
      <c r="I33" s="276"/>
      <c r="J33" s="276"/>
      <c r="K33" s="276"/>
      <c r="L33" s="275"/>
    </row>
    <row r="34" spans="1:12" s="107" customFormat="1" ht="15" customHeight="1" hidden="1">
      <c r="A34" s="492"/>
      <c r="B34" s="497"/>
      <c r="C34" s="271"/>
      <c r="D34" s="271"/>
      <c r="E34" s="271"/>
      <c r="F34" s="271"/>
      <c r="G34" s="499"/>
      <c r="H34" s="495"/>
      <c r="I34" s="272">
        <f>H33*I33</f>
        <v>0</v>
      </c>
      <c r="J34" s="272">
        <f>I33*J33</f>
        <v>0</v>
      </c>
      <c r="K34" s="272">
        <f>J33*K33</f>
        <v>0</v>
      </c>
      <c r="L34" s="273">
        <f>H33*L33</f>
        <v>0</v>
      </c>
    </row>
    <row r="35" spans="1:12" s="107" customFormat="1" ht="15" customHeight="1" hidden="1">
      <c r="A35" s="478" t="s">
        <v>115</v>
      </c>
      <c r="B35" s="496" t="e">
        <f>VLOOKUP(A35,Resumo!$A$11:$G$618,2,FALSE)</f>
        <v>#N/A</v>
      </c>
      <c r="C35" s="268"/>
      <c r="D35" s="268"/>
      <c r="E35" s="268"/>
      <c r="F35" s="268"/>
      <c r="G35" s="498" t="e">
        <f>VLOOKUP(A35,Resumo!$A$11:$H$22,6,FALSE)</f>
        <v>#N/A</v>
      </c>
      <c r="H35" s="484">
        <f>VLOOKUP(A35,'[3]Resumo'!$A$11:$H$645,8,FALSE)</f>
        <v>34247.26</v>
      </c>
      <c r="I35" s="276"/>
      <c r="J35" s="276"/>
      <c r="K35" s="276"/>
      <c r="L35" s="275"/>
    </row>
    <row r="36" spans="1:12" s="107" customFormat="1" ht="15" customHeight="1" hidden="1">
      <c r="A36" s="492"/>
      <c r="B36" s="497"/>
      <c r="C36" s="271"/>
      <c r="D36" s="271"/>
      <c r="E36" s="271"/>
      <c r="F36" s="271"/>
      <c r="G36" s="499"/>
      <c r="H36" s="495"/>
      <c r="I36" s="272">
        <f>H35*I35</f>
        <v>0</v>
      </c>
      <c r="J36" s="272">
        <f>I35*J35</f>
        <v>0</v>
      </c>
      <c r="K36" s="272">
        <f>J35*K35</f>
        <v>0</v>
      </c>
      <c r="L36" s="273">
        <f>H35*L35</f>
        <v>0</v>
      </c>
    </row>
    <row r="37" spans="1:12" s="107" customFormat="1" ht="15" customHeight="1" hidden="1">
      <c r="A37" s="478" t="s">
        <v>116</v>
      </c>
      <c r="B37" s="496" t="e">
        <f>VLOOKUP(A37,Resumo!$A$11:$G$618,2,FALSE)</f>
        <v>#N/A</v>
      </c>
      <c r="C37" s="268"/>
      <c r="D37" s="268"/>
      <c r="E37" s="268"/>
      <c r="F37" s="268"/>
      <c r="G37" s="498" t="e">
        <f>VLOOKUP(A37,Resumo!$A$11:$H$22,6,FALSE)</f>
        <v>#N/A</v>
      </c>
      <c r="H37" s="484">
        <f>VLOOKUP(A37,'[3]Resumo'!$A$11:$H$645,8,FALSE)</f>
        <v>10433.01</v>
      </c>
      <c r="I37" s="274"/>
      <c r="J37" s="274"/>
      <c r="K37" s="274"/>
      <c r="L37" s="275"/>
    </row>
    <row r="38" spans="1:12" s="107" customFormat="1" ht="15" customHeight="1" hidden="1">
      <c r="A38" s="492"/>
      <c r="B38" s="497"/>
      <c r="C38" s="271"/>
      <c r="D38" s="271"/>
      <c r="E38" s="271"/>
      <c r="F38" s="271"/>
      <c r="G38" s="499"/>
      <c r="H38" s="495"/>
      <c r="I38" s="272">
        <f>H37*I37</f>
        <v>0</v>
      </c>
      <c r="J38" s="272">
        <f>I37*J37</f>
        <v>0</v>
      </c>
      <c r="K38" s="272">
        <f>J37*K37</f>
        <v>0</v>
      </c>
      <c r="L38" s="273">
        <f>H37*L37</f>
        <v>0</v>
      </c>
    </row>
    <row r="39" spans="1:12" s="107" customFormat="1" ht="15" customHeight="1" hidden="1">
      <c r="A39" s="478" t="s">
        <v>117</v>
      </c>
      <c r="B39" s="496" t="e">
        <f>VLOOKUP(A39,Resumo!$A$11:$G$618,2,FALSE)</f>
        <v>#N/A</v>
      </c>
      <c r="C39" s="268"/>
      <c r="D39" s="268"/>
      <c r="E39" s="268"/>
      <c r="F39" s="268"/>
      <c r="G39" s="498" t="e">
        <f>VLOOKUP(A39,Resumo!$A$11:$H$22,6,FALSE)</f>
        <v>#N/A</v>
      </c>
      <c r="H39" s="484">
        <f>VLOOKUP(A39,'[3]Resumo'!$A$11:$H$645,8,FALSE)</f>
        <v>12756.02</v>
      </c>
      <c r="I39" s="274"/>
      <c r="J39" s="274"/>
      <c r="K39" s="274"/>
      <c r="L39" s="275"/>
    </row>
    <row r="40" spans="1:12" s="107" customFormat="1" ht="15" customHeight="1" hidden="1">
      <c r="A40" s="492"/>
      <c r="B40" s="497"/>
      <c r="C40" s="271"/>
      <c r="D40" s="271"/>
      <c r="E40" s="271"/>
      <c r="F40" s="271"/>
      <c r="G40" s="499"/>
      <c r="H40" s="495"/>
      <c r="I40" s="272">
        <f>H39*I39</f>
        <v>0</v>
      </c>
      <c r="J40" s="272">
        <f>I39*J39</f>
        <v>0</v>
      </c>
      <c r="K40" s="272">
        <f>J39*K39</f>
        <v>0</v>
      </c>
      <c r="L40" s="273">
        <f>H39*L39</f>
        <v>0</v>
      </c>
    </row>
    <row r="41" spans="1:12" s="107" customFormat="1" ht="15" customHeight="1" hidden="1">
      <c r="A41" s="478" t="s">
        <v>118</v>
      </c>
      <c r="B41" s="496" t="e">
        <f>VLOOKUP(A41,Resumo!$A$11:$G$618,2,FALSE)</f>
        <v>#N/A</v>
      </c>
      <c r="C41" s="268"/>
      <c r="D41" s="268"/>
      <c r="E41" s="268"/>
      <c r="F41" s="268"/>
      <c r="G41" s="498" t="e">
        <f>VLOOKUP(A41,Resumo!$A$11:$H$22,6,FALSE)</f>
        <v>#N/A</v>
      </c>
      <c r="H41" s="484">
        <f>VLOOKUP(A41,'[3]Resumo'!$A$11:$H$645,8,FALSE)</f>
        <v>7336.54</v>
      </c>
      <c r="I41" s="274"/>
      <c r="J41" s="274"/>
      <c r="K41" s="274"/>
      <c r="L41" s="275"/>
    </row>
    <row r="42" spans="1:12" s="107" customFormat="1" ht="15" customHeight="1" hidden="1" thickBot="1">
      <c r="A42" s="479"/>
      <c r="B42" s="497"/>
      <c r="C42" s="277"/>
      <c r="D42" s="277"/>
      <c r="E42" s="277"/>
      <c r="F42" s="277"/>
      <c r="G42" s="499"/>
      <c r="H42" s="485"/>
      <c r="I42" s="278">
        <f>H41*I41</f>
        <v>0</v>
      </c>
      <c r="J42" s="278">
        <f>I41*J41</f>
        <v>0</v>
      </c>
      <c r="K42" s="278">
        <f>J41*K41</f>
        <v>0</v>
      </c>
      <c r="L42" s="279">
        <f>H41*L41</f>
        <v>0</v>
      </c>
    </row>
    <row r="43" spans="1:12" s="106" customFormat="1" ht="15" customHeight="1">
      <c r="A43" s="500">
        <v>2</v>
      </c>
      <c r="B43" s="496" t="str">
        <f>VLOOKUP(A43,Resumo!$A$11:$G$618,2,FALSE)</f>
        <v>MOVIMENTO DE TERRA</v>
      </c>
      <c r="C43" s="261"/>
      <c r="D43" s="261"/>
      <c r="E43" s="261"/>
      <c r="F43" s="261"/>
      <c r="G43" s="498">
        <f>Resumo!G12</f>
        <v>0.0556</v>
      </c>
      <c r="H43" s="262">
        <f>SUM(I43:L43)</f>
        <v>1</v>
      </c>
      <c r="I43" s="263">
        <v>0.5</v>
      </c>
      <c r="J43" s="263">
        <v>0.5</v>
      </c>
      <c r="K43" s="263">
        <v>0</v>
      </c>
      <c r="L43" s="264">
        <v>0</v>
      </c>
    </row>
    <row r="44" spans="1:13" s="106" customFormat="1" ht="15" customHeight="1" thickBot="1">
      <c r="A44" s="501"/>
      <c r="B44" s="497"/>
      <c r="C44" s="265"/>
      <c r="D44" s="265"/>
      <c r="E44" s="265"/>
      <c r="F44" s="265"/>
      <c r="G44" s="499"/>
      <c r="H44" s="266">
        <f>Resumo!I12</f>
        <v>15273.68</v>
      </c>
      <c r="I44" s="267">
        <f>$H$44*I43</f>
        <v>7636.84</v>
      </c>
      <c r="J44" s="267">
        <f>$H$44*J43</f>
        <v>7636.84</v>
      </c>
      <c r="K44" s="267">
        <f>$H$44*K43</f>
        <v>0</v>
      </c>
      <c r="L44" s="267">
        <f>$H$44*L43</f>
        <v>0</v>
      </c>
      <c r="M44" s="108"/>
    </row>
    <row r="45" spans="1:13" s="107" customFormat="1" ht="15" customHeight="1" hidden="1">
      <c r="A45" s="478" t="s">
        <v>119</v>
      </c>
      <c r="B45" s="496" t="e">
        <f>VLOOKUP(A45,Resumo!$A$11:$G$618,2,FALSE)</f>
        <v>#N/A</v>
      </c>
      <c r="C45" s="268"/>
      <c r="D45" s="268"/>
      <c r="E45" s="268"/>
      <c r="F45" s="268"/>
      <c r="G45" s="498" t="e">
        <f>VLOOKUP(A45,Resumo!$A$11:$H$22,6,FALSE)</f>
        <v>#N/A</v>
      </c>
      <c r="H45" s="484">
        <f>VLOOKUP(A45,'[3]Resumo'!$A$11:$H$645,8,FALSE)</f>
        <v>37193.94</v>
      </c>
      <c r="I45" s="269"/>
      <c r="J45" s="269"/>
      <c r="K45" s="269"/>
      <c r="L45" s="270">
        <v>1</v>
      </c>
      <c r="M45" s="109"/>
    </row>
    <row r="46" spans="1:12" s="107" customFormat="1" ht="15" customHeight="1" hidden="1">
      <c r="A46" s="492"/>
      <c r="B46" s="497"/>
      <c r="C46" s="271"/>
      <c r="D46" s="271"/>
      <c r="E46" s="271"/>
      <c r="F46" s="271"/>
      <c r="G46" s="499"/>
      <c r="H46" s="495"/>
      <c r="I46" s="272">
        <f>$H45*I45</f>
        <v>0</v>
      </c>
      <c r="J46" s="272">
        <f>$H45*J45</f>
        <v>0</v>
      </c>
      <c r="K46" s="272">
        <f>$H45*K45</f>
        <v>0</v>
      </c>
      <c r="L46" s="273">
        <f>$H45*L45</f>
        <v>37193.94</v>
      </c>
    </row>
    <row r="47" spans="1:12" s="107" customFormat="1" ht="15" customHeight="1" hidden="1">
      <c r="A47" s="478" t="s">
        <v>120</v>
      </c>
      <c r="B47" s="496" t="e">
        <f>VLOOKUP(A47,Resumo!$A$11:$G$618,2,FALSE)</f>
        <v>#N/A</v>
      </c>
      <c r="C47" s="268"/>
      <c r="D47" s="268"/>
      <c r="E47" s="268"/>
      <c r="F47" s="268"/>
      <c r="G47" s="498" t="e">
        <f>VLOOKUP(A47,Resumo!$A$11:$H$22,6,FALSE)</f>
        <v>#N/A</v>
      </c>
      <c r="H47" s="484">
        <f>VLOOKUP(A47,'[3]Resumo'!$A$11:$H$645,8,FALSE)</f>
        <v>18507.96</v>
      </c>
      <c r="I47" s="269"/>
      <c r="J47" s="269"/>
      <c r="K47" s="269"/>
      <c r="L47" s="270">
        <v>1</v>
      </c>
    </row>
    <row r="48" spans="1:12" s="107" customFormat="1" ht="15" customHeight="1" hidden="1">
      <c r="A48" s="492"/>
      <c r="B48" s="497"/>
      <c r="C48" s="271"/>
      <c r="D48" s="271"/>
      <c r="E48" s="271"/>
      <c r="F48" s="271"/>
      <c r="G48" s="499"/>
      <c r="H48" s="495"/>
      <c r="I48" s="272">
        <f>$H47*I47</f>
        <v>0</v>
      </c>
      <c r="J48" s="272">
        <f>$H47*J47</f>
        <v>0</v>
      </c>
      <c r="K48" s="272">
        <f>$H47*K47</f>
        <v>0</v>
      </c>
      <c r="L48" s="273">
        <f>$H47*L47</f>
        <v>18507.96</v>
      </c>
    </row>
    <row r="49" spans="1:12" s="107" customFormat="1" ht="15" customHeight="1" hidden="1">
      <c r="A49" s="478" t="s">
        <v>121</v>
      </c>
      <c r="B49" s="496" t="e">
        <f>VLOOKUP(A49,Resumo!$A$11:$G$618,2,FALSE)</f>
        <v>#N/A</v>
      </c>
      <c r="C49" s="268"/>
      <c r="D49" s="268"/>
      <c r="E49" s="268"/>
      <c r="F49" s="268"/>
      <c r="G49" s="498" t="e">
        <f>VLOOKUP(A49,Resumo!$A$11:$H$22,6,FALSE)</f>
        <v>#N/A</v>
      </c>
      <c r="H49" s="484">
        <f>VLOOKUP(A49,'[3]Resumo'!$A$11:$H$645,8,FALSE)</f>
        <v>601148.19</v>
      </c>
      <c r="I49" s="274"/>
      <c r="J49" s="274"/>
      <c r="K49" s="274"/>
      <c r="L49" s="275">
        <v>0.35</v>
      </c>
    </row>
    <row r="50" spans="1:12" s="107" customFormat="1" ht="15" customHeight="1" hidden="1">
      <c r="A50" s="492"/>
      <c r="B50" s="497"/>
      <c r="C50" s="271"/>
      <c r="D50" s="271"/>
      <c r="E50" s="271"/>
      <c r="F50" s="271"/>
      <c r="G50" s="499"/>
      <c r="H50" s="495"/>
      <c r="I50" s="272">
        <f>$H49*I49</f>
        <v>0</v>
      </c>
      <c r="J50" s="272">
        <f>$H49*J49</f>
        <v>0</v>
      </c>
      <c r="K50" s="272">
        <f>$H49*K49</f>
        <v>0</v>
      </c>
      <c r="L50" s="273">
        <f>$H49*L49</f>
        <v>210401.87</v>
      </c>
    </row>
    <row r="51" spans="1:12" s="107" customFormat="1" ht="15" customHeight="1" hidden="1">
      <c r="A51" s="478" t="s">
        <v>122</v>
      </c>
      <c r="B51" s="496" t="e">
        <f>VLOOKUP(A51,Resumo!$A$11:$G$618,2,FALSE)</f>
        <v>#N/A</v>
      </c>
      <c r="C51" s="268"/>
      <c r="D51" s="268"/>
      <c r="E51" s="268"/>
      <c r="F51" s="268"/>
      <c r="G51" s="498" t="e">
        <f>VLOOKUP(A51,Resumo!$A$11:$H$22,6,FALSE)</f>
        <v>#N/A</v>
      </c>
      <c r="H51" s="484">
        <f>VLOOKUP(A51,'[3]Resumo'!$A$11:$H$645,8,FALSE)</f>
        <v>4834.03</v>
      </c>
      <c r="I51" s="274"/>
      <c r="J51" s="274"/>
      <c r="K51" s="274"/>
      <c r="L51" s="275">
        <v>0.5</v>
      </c>
    </row>
    <row r="52" spans="1:12" s="107" customFormat="1" ht="15" customHeight="1" hidden="1">
      <c r="A52" s="492"/>
      <c r="B52" s="497"/>
      <c r="C52" s="271"/>
      <c r="D52" s="271"/>
      <c r="E52" s="271"/>
      <c r="F52" s="271"/>
      <c r="G52" s="499"/>
      <c r="H52" s="495"/>
      <c r="I52" s="272">
        <f>$H51*I51</f>
        <v>0</v>
      </c>
      <c r="J52" s="272">
        <f>$H51*J51</f>
        <v>0</v>
      </c>
      <c r="K52" s="272">
        <f>$H51*K51</f>
        <v>0</v>
      </c>
      <c r="L52" s="273">
        <f>$H51*L51</f>
        <v>2417.02</v>
      </c>
    </row>
    <row r="53" spans="1:12" s="107" customFormat="1" ht="15" customHeight="1" hidden="1">
      <c r="A53" s="478" t="s">
        <v>123</v>
      </c>
      <c r="B53" s="496" t="e">
        <f>VLOOKUP(A53,Resumo!$A$11:$G$618,2,FALSE)</f>
        <v>#N/A</v>
      </c>
      <c r="C53" s="268"/>
      <c r="D53" s="268"/>
      <c r="E53" s="268"/>
      <c r="F53" s="268"/>
      <c r="G53" s="498" t="e">
        <f>VLOOKUP(A53,Resumo!$A$11:$H$22,6,FALSE)</f>
        <v>#N/A</v>
      </c>
      <c r="H53" s="484">
        <f>VLOOKUP(A53,'[3]Resumo'!$A$11:$H$645,8,FALSE)</f>
        <v>51742.93</v>
      </c>
      <c r="I53" s="276"/>
      <c r="J53" s="276"/>
      <c r="K53" s="276"/>
      <c r="L53" s="280"/>
    </row>
    <row r="54" spans="1:12" s="107" customFormat="1" ht="15" customHeight="1" hidden="1">
      <c r="A54" s="492"/>
      <c r="B54" s="497"/>
      <c r="C54" s="271"/>
      <c r="D54" s="271"/>
      <c r="E54" s="271"/>
      <c r="F54" s="271"/>
      <c r="G54" s="499"/>
      <c r="H54" s="495"/>
      <c r="I54" s="272">
        <f>$H53*I53</f>
        <v>0</v>
      </c>
      <c r="J54" s="272">
        <f>$H53*J53</f>
        <v>0</v>
      </c>
      <c r="K54" s="272">
        <f>$H53*K53</f>
        <v>0</v>
      </c>
      <c r="L54" s="273">
        <f>$H53*L53</f>
        <v>0</v>
      </c>
    </row>
    <row r="55" spans="1:12" s="107" customFormat="1" ht="15" customHeight="1" hidden="1">
      <c r="A55" s="478" t="s">
        <v>124</v>
      </c>
      <c r="B55" s="496" t="e">
        <f>VLOOKUP(A55,Resumo!$A$11:$G$618,2,FALSE)</f>
        <v>#N/A</v>
      </c>
      <c r="C55" s="268"/>
      <c r="D55" s="268"/>
      <c r="E55" s="268"/>
      <c r="F55" s="268"/>
      <c r="G55" s="498" t="e">
        <f>VLOOKUP(A55,Resumo!$A$11:$H$22,6,FALSE)</f>
        <v>#N/A</v>
      </c>
      <c r="H55" s="484">
        <f>VLOOKUP(A55,'[3]Resumo'!$A$11:$H$645,8,FALSE)</f>
        <v>19504.54</v>
      </c>
      <c r="I55" s="276"/>
      <c r="J55" s="276"/>
      <c r="K55" s="276"/>
      <c r="L55" s="280"/>
    </row>
    <row r="56" spans="1:12" s="107" customFormat="1" ht="15" customHeight="1" hidden="1">
      <c r="A56" s="492"/>
      <c r="B56" s="497"/>
      <c r="C56" s="271"/>
      <c r="D56" s="271"/>
      <c r="E56" s="271"/>
      <c r="F56" s="271"/>
      <c r="G56" s="499"/>
      <c r="H56" s="495"/>
      <c r="I56" s="272">
        <f>$H55*I55</f>
        <v>0</v>
      </c>
      <c r="J56" s="272">
        <f>$H55*J55</f>
        <v>0</v>
      </c>
      <c r="K56" s="272">
        <f>$H55*K55</f>
        <v>0</v>
      </c>
      <c r="L56" s="273">
        <f>$H55*L55</f>
        <v>0</v>
      </c>
    </row>
    <row r="57" spans="1:12" s="107" customFormat="1" ht="15" customHeight="1" hidden="1">
      <c r="A57" s="478" t="s">
        <v>125</v>
      </c>
      <c r="B57" s="496" t="e">
        <f>VLOOKUP(A57,Resumo!$A$11:$G$618,2,FALSE)</f>
        <v>#N/A</v>
      </c>
      <c r="C57" s="268"/>
      <c r="D57" s="268"/>
      <c r="E57" s="268"/>
      <c r="F57" s="268"/>
      <c r="G57" s="498" t="e">
        <f>VLOOKUP(A57,Resumo!$A$11:$H$22,6,FALSE)</f>
        <v>#N/A</v>
      </c>
      <c r="H57" s="484">
        <f>VLOOKUP(A57,'[3]Resumo'!$A$11:$H$645,8,FALSE)</f>
        <v>91880.74</v>
      </c>
      <c r="I57" s="276"/>
      <c r="J57" s="276"/>
      <c r="K57" s="276"/>
      <c r="L57" s="280"/>
    </row>
    <row r="58" spans="1:12" s="107" customFormat="1" ht="15" customHeight="1" hidden="1">
      <c r="A58" s="492"/>
      <c r="B58" s="497"/>
      <c r="C58" s="271"/>
      <c r="D58" s="271"/>
      <c r="E58" s="271"/>
      <c r="F58" s="271"/>
      <c r="G58" s="499"/>
      <c r="H58" s="495"/>
      <c r="I58" s="272">
        <f>$H57*I57</f>
        <v>0</v>
      </c>
      <c r="J58" s="272">
        <f>$H57*J57</f>
        <v>0</v>
      </c>
      <c r="K58" s="272">
        <f>$H57*K57</f>
        <v>0</v>
      </c>
      <c r="L58" s="273">
        <f>$H57*L57</f>
        <v>0</v>
      </c>
    </row>
    <row r="59" spans="1:12" s="107" customFormat="1" ht="15" customHeight="1" hidden="1">
      <c r="A59" s="478" t="s">
        <v>126</v>
      </c>
      <c r="B59" s="496" t="e">
        <f>VLOOKUP(A59,Resumo!$A$11:$G$618,2,FALSE)</f>
        <v>#N/A</v>
      </c>
      <c r="C59" s="268"/>
      <c r="D59" s="268"/>
      <c r="E59" s="268"/>
      <c r="F59" s="268"/>
      <c r="G59" s="498" t="e">
        <f>VLOOKUP(A59,Resumo!$A$11:$H$22,6,FALSE)</f>
        <v>#N/A</v>
      </c>
      <c r="H59" s="484">
        <f>VLOOKUP(A59,'[3]Resumo'!$A$11:$H$645,8,FALSE)</f>
        <v>87710.16</v>
      </c>
      <c r="I59" s="274"/>
      <c r="J59" s="274"/>
      <c r="K59" s="274"/>
      <c r="L59" s="275"/>
    </row>
    <row r="60" spans="1:12" s="107" customFormat="1" ht="15" customHeight="1" hidden="1">
      <c r="A60" s="492"/>
      <c r="B60" s="497"/>
      <c r="C60" s="271"/>
      <c r="D60" s="271"/>
      <c r="E60" s="271"/>
      <c r="F60" s="271"/>
      <c r="G60" s="499"/>
      <c r="H60" s="495"/>
      <c r="I60" s="272">
        <f>$H59*I59</f>
        <v>0</v>
      </c>
      <c r="J60" s="272">
        <f>$H59*J59</f>
        <v>0</v>
      </c>
      <c r="K60" s="272">
        <f>$H59*K59</f>
        <v>0</v>
      </c>
      <c r="L60" s="273">
        <f>$H59*L59</f>
        <v>0</v>
      </c>
    </row>
    <row r="61" spans="1:12" s="107" customFormat="1" ht="15" customHeight="1" hidden="1">
      <c r="A61" s="478" t="s">
        <v>127</v>
      </c>
      <c r="B61" s="496" t="e">
        <f>VLOOKUP(A61,Resumo!$A$11:$G$618,2,FALSE)</f>
        <v>#N/A</v>
      </c>
      <c r="C61" s="268"/>
      <c r="D61" s="268"/>
      <c r="E61" s="268"/>
      <c r="F61" s="268"/>
      <c r="G61" s="498" t="e">
        <f>VLOOKUP(A61,Resumo!$A$11:$H$22,6,FALSE)</f>
        <v>#N/A</v>
      </c>
      <c r="H61" s="484">
        <f>VLOOKUP(A61,'[3]Resumo'!$A$11:$H$645,8,FALSE)</f>
        <v>16106.92</v>
      </c>
      <c r="I61" s="274"/>
      <c r="J61" s="274"/>
      <c r="K61" s="274"/>
      <c r="L61" s="275"/>
    </row>
    <row r="62" spans="1:12" s="107" customFormat="1" ht="15" customHeight="1" hidden="1">
      <c r="A62" s="492"/>
      <c r="B62" s="497"/>
      <c r="C62" s="271"/>
      <c r="D62" s="271"/>
      <c r="E62" s="271"/>
      <c r="F62" s="271"/>
      <c r="G62" s="499"/>
      <c r="H62" s="495"/>
      <c r="I62" s="272">
        <f>$H61*I61</f>
        <v>0</v>
      </c>
      <c r="J62" s="272">
        <f>$H61*J61</f>
        <v>0</v>
      </c>
      <c r="K62" s="272">
        <f>$H61*K61</f>
        <v>0</v>
      </c>
      <c r="L62" s="273">
        <f>$H61*L61</f>
        <v>0</v>
      </c>
    </row>
    <row r="63" spans="1:12" s="107" customFormat="1" ht="15" customHeight="1" hidden="1">
      <c r="A63" s="478" t="s">
        <v>128</v>
      </c>
      <c r="B63" s="496" t="e">
        <f>VLOOKUP(A63,Resumo!$A$11:$G$618,2,FALSE)</f>
        <v>#N/A</v>
      </c>
      <c r="C63" s="268"/>
      <c r="D63" s="268"/>
      <c r="E63" s="268"/>
      <c r="F63" s="268"/>
      <c r="G63" s="498" t="e">
        <f>VLOOKUP(A63,Resumo!$A$11:$H$22,6,FALSE)</f>
        <v>#N/A</v>
      </c>
      <c r="H63" s="484">
        <f>VLOOKUP(A63,'[3]Resumo'!$A$11:$H$645,8,FALSE)</f>
        <v>44960.29</v>
      </c>
      <c r="I63" s="274"/>
      <c r="J63" s="274"/>
      <c r="K63" s="274"/>
      <c r="L63" s="275"/>
    </row>
    <row r="64" spans="1:12" s="107" customFormat="1" ht="15" customHeight="1" hidden="1">
      <c r="A64" s="492"/>
      <c r="B64" s="497"/>
      <c r="C64" s="271"/>
      <c r="D64" s="271"/>
      <c r="E64" s="271"/>
      <c r="F64" s="271"/>
      <c r="G64" s="499"/>
      <c r="H64" s="495"/>
      <c r="I64" s="272">
        <f>$H63*I63</f>
        <v>0</v>
      </c>
      <c r="J64" s="272">
        <f>$H63*J63</f>
        <v>0</v>
      </c>
      <c r="K64" s="272">
        <f>$H63*K63</f>
        <v>0</v>
      </c>
      <c r="L64" s="273">
        <f>$H63*L63</f>
        <v>0</v>
      </c>
    </row>
    <row r="65" spans="1:12" s="107" customFormat="1" ht="15" customHeight="1" hidden="1">
      <c r="A65" s="478" t="s">
        <v>129</v>
      </c>
      <c r="B65" s="496" t="e">
        <f>VLOOKUP(A65,Resumo!$A$11:$G$618,2,FALSE)</f>
        <v>#N/A</v>
      </c>
      <c r="C65" s="268"/>
      <c r="D65" s="268"/>
      <c r="E65" s="268"/>
      <c r="F65" s="268"/>
      <c r="G65" s="498" t="e">
        <f>VLOOKUP(A65,Resumo!$A$11:$H$22,6,FALSE)</f>
        <v>#N/A</v>
      </c>
      <c r="H65" s="484">
        <f>VLOOKUP(A65,'[3]Resumo'!$A$11:$H$645,8,FALSE)</f>
        <v>16818.85</v>
      </c>
      <c r="I65" s="276"/>
      <c r="J65" s="276"/>
      <c r="K65" s="276"/>
      <c r="L65" s="280"/>
    </row>
    <row r="66" spans="1:12" s="107" customFormat="1" ht="15" customHeight="1" hidden="1">
      <c r="A66" s="492"/>
      <c r="B66" s="497"/>
      <c r="C66" s="271"/>
      <c r="D66" s="271"/>
      <c r="E66" s="271"/>
      <c r="F66" s="271"/>
      <c r="G66" s="499"/>
      <c r="H66" s="495"/>
      <c r="I66" s="272">
        <f>$H65*I65</f>
        <v>0</v>
      </c>
      <c r="J66" s="272">
        <f>$H65*J65</f>
        <v>0</v>
      </c>
      <c r="K66" s="272">
        <f>$H65*K65</f>
        <v>0</v>
      </c>
      <c r="L66" s="273">
        <f>$H65*L65</f>
        <v>0</v>
      </c>
    </row>
    <row r="67" spans="1:12" s="107" customFormat="1" ht="15" customHeight="1" hidden="1">
      <c r="A67" s="478" t="s">
        <v>130</v>
      </c>
      <c r="B67" s="496" t="e">
        <f>VLOOKUP(A67,Resumo!$A$11:$G$618,2,FALSE)</f>
        <v>#N/A</v>
      </c>
      <c r="C67" s="268"/>
      <c r="D67" s="268"/>
      <c r="E67" s="268"/>
      <c r="F67" s="268"/>
      <c r="G67" s="498" t="e">
        <f>VLOOKUP(A67,Resumo!$A$11:$H$22,6,FALSE)</f>
        <v>#N/A</v>
      </c>
      <c r="H67" s="484">
        <f>VLOOKUP(A67,'[3]Resumo'!$A$11:$H$645,8,FALSE)</f>
        <v>48886.77</v>
      </c>
      <c r="I67" s="276"/>
      <c r="J67" s="276"/>
      <c r="K67" s="276"/>
      <c r="L67" s="280"/>
    </row>
    <row r="68" spans="1:12" s="107" customFormat="1" ht="15" customHeight="1" hidden="1">
      <c r="A68" s="492"/>
      <c r="B68" s="497"/>
      <c r="C68" s="271"/>
      <c r="D68" s="271"/>
      <c r="E68" s="271"/>
      <c r="F68" s="271"/>
      <c r="G68" s="499"/>
      <c r="H68" s="495"/>
      <c r="I68" s="272">
        <f>$H67*I67</f>
        <v>0</v>
      </c>
      <c r="J68" s="272">
        <f>$H67*J67</f>
        <v>0</v>
      </c>
      <c r="K68" s="272">
        <f>$H67*K67</f>
        <v>0</v>
      </c>
      <c r="L68" s="273">
        <f>$H67*L67</f>
        <v>0</v>
      </c>
    </row>
    <row r="69" spans="1:12" s="107" customFormat="1" ht="15" customHeight="1" hidden="1">
      <c r="A69" s="478" t="s">
        <v>131</v>
      </c>
      <c r="B69" s="496" t="e">
        <f>VLOOKUP(A69,Resumo!$A$11:$G$618,2,FALSE)</f>
        <v>#N/A</v>
      </c>
      <c r="C69" s="268"/>
      <c r="D69" s="268"/>
      <c r="E69" s="268"/>
      <c r="F69" s="268"/>
      <c r="G69" s="498" t="e">
        <f>VLOOKUP(A69,Resumo!$A$11:$H$22,6,FALSE)</f>
        <v>#N/A</v>
      </c>
      <c r="H69" s="484">
        <f>VLOOKUP(A69,'[3]Resumo'!$A$11:$H$645,8,FALSE)</f>
        <v>8119.9</v>
      </c>
      <c r="I69" s="274"/>
      <c r="J69" s="274"/>
      <c r="K69" s="274"/>
      <c r="L69" s="275"/>
    </row>
    <row r="70" spans="1:12" s="107" customFormat="1" ht="15" customHeight="1" hidden="1">
      <c r="A70" s="492"/>
      <c r="B70" s="497"/>
      <c r="C70" s="271"/>
      <c r="D70" s="271"/>
      <c r="E70" s="271"/>
      <c r="F70" s="271"/>
      <c r="G70" s="499"/>
      <c r="H70" s="495"/>
      <c r="I70" s="272">
        <f>$H69*I69</f>
        <v>0</v>
      </c>
      <c r="J70" s="272">
        <f>$H69*J69</f>
        <v>0</v>
      </c>
      <c r="K70" s="272">
        <f>$H69*K69</f>
        <v>0</v>
      </c>
      <c r="L70" s="273">
        <f>$H69*L69</f>
        <v>0</v>
      </c>
    </row>
    <row r="71" spans="1:12" s="107" customFormat="1" ht="15" customHeight="1" hidden="1">
      <c r="A71" s="478" t="s">
        <v>132</v>
      </c>
      <c r="B71" s="496" t="e">
        <f>VLOOKUP(A71,Resumo!$A$11:$G$618,2,FALSE)</f>
        <v>#N/A</v>
      </c>
      <c r="C71" s="268"/>
      <c r="D71" s="268"/>
      <c r="E71" s="268"/>
      <c r="F71" s="268"/>
      <c r="G71" s="498" t="e">
        <f>VLOOKUP(A71,Resumo!$A$11:$H$22,6,FALSE)</f>
        <v>#N/A</v>
      </c>
      <c r="H71" s="484">
        <f>VLOOKUP(A71,'[3]Resumo'!$A$11:$H$645,8,FALSE)</f>
        <v>12373.16</v>
      </c>
      <c r="I71" s="274"/>
      <c r="J71" s="274"/>
      <c r="K71" s="274"/>
      <c r="L71" s="275"/>
    </row>
    <row r="72" spans="1:12" s="107" customFormat="1" ht="15" customHeight="1" hidden="1">
      <c r="A72" s="492"/>
      <c r="B72" s="497"/>
      <c r="C72" s="271"/>
      <c r="D72" s="271"/>
      <c r="E72" s="271"/>
      <c r="F72" s="271"/>
      <c r="G72" s="499"/>
      <c r="H72" s="495"/>
      <c r="I72" s="272">
        <f>$H71*I71</f>
        <v>0</v>
      </c>
      <c r="J72" s="272">
        <f>$H71*J71</f>
        <v>0</v>
      </c>
      <c r="K72" s="272">
        <f>$H71*K71</f>
        <v>0</v>
      </c>
      <c r="L72" s="273">
        <f>$H71*L71</f>
        <v>0</v>
      </c>
    </row>
    <row r="73" spans="1:12" s="107" customFormat="1" ht="15" customHeight="1" hidden="1">
      <c r="A73" s="478" t="s">
        <v>133</v>
      </c>
      <c r="B73" s="496" t="e">
        <f>VLOOKUP(A73,Resumo!$A$11:$G$618,2,FALSE)</f>
        <v>#N/A</v>
      </c>
      <c r="C73" s="268"/>
      <c r="D73" s="268"/>
      <c r="E73" s="268"/>
      <c r="F73" s="268"/>
      <c r="G73" s="498" t="e">
        <f>VLOOKUP(A73,Resumo!$A$11:$H$22,6,FALSE)</f>
        <v>#N/A</v>
      </c>
      <c r="H73" s="484">
        <f>VLOOKUP(A73,'[3]Resumo'!$A$11:$H$645,8,FALSE)</f>
        <v>10749.47</v>
      </c>
      <c r="I73" s="274"/>
      <c r="J73" s="274"/>
      <c r="K73" s="274"/>
      <c r="L73" s="275"/>
    </row>
    <row r="74" spans="1:12" s="107" customFormat="1" ht="15" customHeight="1" hidden="1" thickBot="1">
      <c r="A74" s="479"/>
      <c r="B74" s="497"/>
      <c r="C74" s="277"/>
      <c r="D74" s="277"/>
      <c r="E74" s="277"/>
      <c r="F74" s="277"/>
      <c r="G74" s="499"/>
      <c r="H74" s="485"/>
      <c r="I74" s="278">
        <f>$H73*I73</f>
        <v>0</v>
      </c>
      <c r="J74" s="278">
        <f>$H73*J73</f>
        <v>0</v>
      </c>
      <c r="K74" s="278">
        <f>$H73*K73</f>
        <v>0</v>
      </c>
      <c r="L74" s="279">
        <f>$H73*L73</f>
        <v>0</v>
      </c>
    </row>
    <row r="75" spans="1:12" s="106" customFormat="1" ht="15" customHeight="1">
      <c r="A75" s="500">
        <v>3</v>
      </c>
      <c r="B75" s="496" t="str">
        <f>VLOOKUP(A75,Resumo!$A$11:$G$618,2,FALSE)</f>
        <v>ALAMBRADO COM MOURÃO DE CONCRETO</v>
      </c>
      <c r="C75" s="261"/>
      <c r="D75" s="261"/>
      <c r="E75" s="261"/>
      <c r="F75" s="261"/>
      <c r="G75" s="498">
        <f>Resumo!G13</f>
        <v>0.5504</v>
      </c>
      <c r="H75" s="262">
        <f>SUM(I75:L75)</f>
        <v>1</v>
      </c>
      <c r="I75" s="263">
        <v>0</v>
      </c>
      <c r="J75" s="263">
        <v>0.3</v>
      </c>
      <c r="K75" s="263">
        <v>0.4</v>
      </c>
      <c r="L75" s="264">
        <v>0.3</v>
      </c>
    </row>
    <row r="76" spans="1:12" s="106" customFormat="1" ht="15" customHeight="1" thickBot="1">
      <c r="A76" s="501"/>
      <c r="B76" s="497"/>
      <c r="C76" s="265"/>
      <c r="D76" s="265"/>
      <c r="E76" s="265"/>
      <c r="F76" s="265"/>
      <c r="G76" s="499"/>
      <c r="H76" s="266">
        <f>Resumo!I13</f>
        <v>151168.83</v>
      </c>
      <c r="I76" s="267">
        <f>$H$76*I75</f>
        <v>0</v>
      </c>
      <c r="J76" s="267">
        <f>$H$76*J75</f>
        <v>45350.65</v>
      </c>
      <c r="K76" s="267">
        <f>$H$76*K75</f>
        <v>60467.53</v>
      </c>
      <c r="L76" s="267">
        <f>$H$76*L75</f>
        <v>45350.65</v>
      </c>
    </row>
    <row r="77" spans="1:12" s="107" customFormat="1" ht="15" customHeight="1" hidden="1">
      <c r="A77" s="478" t="s">
        <v>134</v>
      </c>
      <c r="B77" s="496" t="e">
        <f>VLOOKUP(A77,Resumo!$A$11:$G$618,2,FALSE)</f>
        <v>#N/A</v>
      </c>
      <c r="C77" s="268"/>
      <c r="D77" s="268"/>
      <c r="E77" s="268"/>
      <c r="F77" s="268"/>
      <c r="G77" s="498" t="e">
        <f>VLOOKUP(A77,Resumo!$A$11:$H$22,6,FALSE)</f>
        <v>#N/A</v>
      </c>
      <c r="H77" s="484">
        <f>VLOOKUP(A77,'[3]Resumo'!$A$11:$H$645,8,FALSE)</f>
        <v>26141.9</v>
      </c>
      <c r="I77" s="269"/>
      <c r="J77" s="269"/>
      <c r="K77" s="269"/>
      <c r="L77" s="270"/>
    </row>
    <row r="78" spans="1:12" s="107" customFormat="1" ht="15" customHeight="1" hidden="1">
      <c r="A78" s="492"/>
      <c r="B78" s="497"/>
      <c r="C78" s="271"/>
      <c r="D78" s="271"/>
      <c r="E78" s="271"/>
      <c r="F78" s="271"/>
      <c r="G78" s="499"/>
      <c r="H78" s="495"/>
      <c r="I78" s="272">
        <f>H77*I77</f>
        <v>0</v>
      </c>
      <c r="J78" s="272">
        <f>I77*J77</f>
        <v>0</v>
      </c>
      <c r="K78" s="272">
        <f>J77*K77</f>
        <v>0</v>
      </c>
      <c r="L78" s="273">
        <f>$H77*L77</f>
        <v>0</v>
      </c>
    </row>
    <row r="79" spans="1:12" s="107" customFormat="1" ht="15" customHeight="1" hidden="1">
      <c r="A79" s="478" t="s">
        <v>135</v>
      </c>
      <c r="B79" s="496" t="e">
        <f>VLOOKUP(A79,Resumo!$A$11:$G$618,2,FALSE)</f>
        <v>#N/A</v>
      </c>
      <c r="C79" s="268"/>
      <c r="D79" s="268"/>
      <c r="E79" s="268"/>
      <c r="F79" s="268"/>
      <c r="G79" s="498" t="e">
        <f>VLOOKUP(A79,Resumo!$A$11:$H$22,6,FALSE)</f>
        <v>#N/A</v>
      </c>
      <c r="H79" s="484">
        <f>VLOOKUP(A79,'[3]Resumo'!$A$11:$H$645,8,FALSE)</f>
        <v>3034.55</v>
      </c>
      <c r="I79" s="269"/>
      <c r="J79" s="269"/>
      <c r="K79" s="269"/>
      <c r="L79" s="270"/>
    </row>
    <row r="80" spans="1:12" s="107" customFormat="1" ht="15" customHeight="1" hidden="1">
      <c r="A80" s="492"/>
      <c r="B80" s="497"/>
      <c r="C80" s="271"/>
      <c r="D80" s="271"/>
      <c r="E80" s="271"/>
      <c r="F80" s="271"/>
      <c r="G80" s="499"/>
      <c r="H80" s="495"/>
      <c r="I80" s="272">
        <f>H79*I79</f>
        <v>0</v>
      </c>
      <c r="J80" s="272">
        <f>I79*J79</f>
        <v>0</v>
      </c>
      <c r="K80" s="272">
        <f>J79*K79</f>
        <v>0</v>
      </c>
      <c r="L80" s="273">
        <f>$H79*L79</f>
        <v>0</v>
      </c>
    </row>
    <row r="81" spans="1:12" s="107" customFormat="1" ht="15" customHeight="1" hidden="1">
      <c r="A81" s="478" t="s">
        <v>136</v>
      </c>
      <c r="B81" s="496" t="e">
        <f>VLOOKUP(A81,Resumo!$A$11:$G$618,2,FALSE)</f>
        <v>#N/A</v>
      </c>
      <c r="C81" s="268"/>
      <c r="D81" s="268"/>
      <c r="E81" s="268"/>
      <c r="F81" s="268"/>
      <c r="G81" s="498" t="e">
        <f>VLOOKUP(A81,Resumo!$A$11:$H$22,6,FALSE)</f>
        <v>#N/A</v>
      </c>
      <c r="H81" s="484">
        <f>VLOOKUP(A81,'[3]Resumo'!$A$11:$H$645,8,FALSE)</f>
        <v>335204.98</v>
      </c>
      <c r="I81" s="274"/>
      <c r="J81" s="274"/>
      <c r="K81" s="274"/>
      <c r="L81" s="275"/>
    </row>
    <row r="82" spans="1:12" s="107" customFormat="1" ht="15" customHeight="1" hidden="1">
      <c r="A82" s="492"/>
      <c r="B82" s="497"/>
      <c r="C82" s="271"/>
      <c r="D82" s="271"/>
      <c r="E82" s="271"/>
      <c r="F82" s="271"/>
      <c r="G82" s="499"/>
      <c r="H82" s="495"/>
      <c r="I82" s="272">
        <f>H81*I81</f>
        <v>0</v>
      </c>
      <c r="J82" s="272">
        <f>I81*J81</f>
        <v>0</v>
      </c>
      <c r="K82" s="272">
        <f>J81*K81</f>
        <v>0</v>
      </c>
      <c r="L82" s="273">
        <f>$H81*L81</f>
        <v>0</v>
      </c>
    </row>
    <row r="83" spans="1:12" s="107" customFormat="1" ht="15" customHeight="1" hidden="1">
      <c r="A83" s="478" t="s">
        <v>137</v>
      </c>
      <c r="B83" s="496" t="e">
        <f>VLOOKUP(A83,Resumo!$A$11:$G$618,2,FALSE)</f>
        <v>#N/A</v>
      </c>
      <c r="C83" s="268"/>
      <c r="D83" s="268"/>
      <c r="E83" s="268"/>
      <c r="F83" s="268"/>
      <c r="G83" s="498" t="e">
        <f>VLOOKUP(A83,Resumo!$A$11:$H$22,6,FALSE)</f>
        <v>#N/A</v>
      </c>
      <c r="H83" s="484">
        <f>VLOOKUP(A83,'[3]Resumo'!$A$11:$H$645,8,FALSE)</f>
        <v>2360.09</v>
      </c>
      <c r="I83" s="274"/>
      <c r="J83" s="274"/>
      <c r="K83" s="274"/>
      <c r="L83" s="275"/>
    </row>
    <row r="84" spans="1:12" s="107" customFormat="1" ht="15" customHeight="1" hidden="1">
      <c r="A84" s="492"/>
      <c r="B84" s="497"/>
      <c r="C84" s="271"/>
      <c r="D84" s="271"/>
      <c r="E84" s="271"/>
      <c r="F84" s="271"/>
      <c r="G84" s="499"/>
      <c r="H84" s="495"/>
      <c r="I84" s="272">
        <f>H83*I83</f>
        <v>0</v>
      </c>
      <c r="J84" s="272">
        <f>I83*J83</f>
        <v>0</v>
      </c>
      <c r="K84" s="272">
        <f>J83*K83</f>
        <v>0</v>
      </c>
      <c r="L84" s="273">
        <f>$H83*L83</f>
        <v>0</v>
      </c>
    </row>
    <row r="85" spans="1:12" s="107" customFormat="1" ht="15" customHeight="1" hidden="1">
      <c r="A85" s="478" t="s">
        <v>138</v>
      </c>
      <c r="B85" s="496" t="e">
        <f>VLOOKUP(A85,Resumo!$A$11:$G$618,2,FALSE)</f>
        <v>#N/A</v>
      </c>
      <c r="C85" s="268"/>
      <c r="D85" s="268"/>
      <c r="E85" s="268"/>
      <c r="F85" s="268"/>
      <c r="G85" s="498" t="e">
        <f>VLOOKUP(A85,Resumo!$A$11:$H$22,6,FALSE)</f>
        <v>#N/A</v>
      </c>
      <c r="H85" s="484">
        <f>VLOOKUP(A85,'[3]Resumo'!$A$11:$H$645,8,FALSE)</f>
        <v>37918.22</v>
      </c>
      <c r="I85" s="276"/>
      <c r="J85" s="276"/>
      <c r="K85" s="276"/>
      <c r="L85" s="280"/>
    </row>
    <row r="86" spans="1:12" s="107" customFormat="1" ht="15" customHeight="1" hidden="1">
      <c r="A86" s="492"/>
      <c r="B86" s="497"/>
      <c r="C86" s="271"/>
      <c r="D86" s="271"/>
      <c r="E86" s="271"/>
      <c r="F86" s="271"/>
      <c r="G86" s="499"/>
      <c r="H86" s="495"/>
      <c r="I86" s="272">
        <f>H85*I85</f>
        <v>0</v>
      </c>
      <c r="J86" s="272">
        <f>I85*J85</f>
        <v>0</v>
      </c>
      <c r="K86" s="272">
        <f>J85*K85</f>
        <v>0</v>
      </c>
      <c r="L86" s="273">
        <f>$H85*L85</f>
        <v>0</v>
      </c>
    </row>
    <row r="87" spans="1:12" s="107" customFormat="1" ht="15" customHeight="1" hidden="1">
      <c r="A87" s="478" t="s">
        <v>139</v>
      </c>
      <c r="B87" s="496" t="e">
        <f>VLOOKUP(A87,Resumo!$A$11:$G$618,2,FALSE)</f>
        <v>#N/A</v>
      </c>
      <c r="C87" s="268"/>
      <c r="D87" s="268"/>
      <c r="E87" s="268"/>
      <c r="F87" s="268"/>
      <c r="G87" s="498" t="e">
        <f>VLOOKUP(A87,Resumo!$A$11:$H$22,6,FALSE)</f>
        <v>#N/A</v>
      </c>
      <c r="H87" s="484">
        <f>VLOOKUP(A87,'[3]Resumo'!$A$11:$H$645,8,FALSE)</f>
        <v>14510.58</v>
      </c>
      <c r="I87" s="276"/>
      <c r="J87" s="276"/>
      <c r="K87" s="276"/>
      <c r="L87" s="280"/>
    </row>
    <row r="88" spans="1:12" s="107" customFormat="1" ht="15" customHeight="1" hidden="1">
      <c r="A88" s="492"/>
      <c r="B88" s="497"/>
      <c r="C88" s="271"/>
      <c r="D88" s="271"/>
      <c r="E88" s="271"/>
      <c r="F88" s="271"/>
      <c r="G88" s="499"/>
      <c r="H88" s="495"/>
      <c r="I88" s="272">
        <f>H87*I87</f>
        <v>0</v>
      </c>
      <c r="J88" s="272">
        <f>I87*J87</f>
        <v>0</v>
      </c>
      <c r="K88" s="272">
        <f>J87*K87</f>
        <v>0</v>
      </c>
      <c r="L88" s="273">
        <f>$H87*L87</f>
        <v>0</v>
      </c>
    </row>
    <row r="89" spans="1:12" s="107" customFormat="1" ht="15" customHeight="1" hidden="1">
      <c r="A89" s="478" t="s">
        <v>140</v>
      </c>
      <c r="B89" s="496" t="e">
        <f>VLOOKUP(A89,Resumo!$A$11:$G$618,2,FALSE)</f>
        <v>#N/A</v>
      </c>
      <c r="C89" s="268"/>
      <c r="D89" s="268"/>
      <c r="E89" s="268"/>
      <c r="F89" s="268"/>
      <c r="G89" s="498" t="e">
        <f>VLOOKUP(A89,Resumo!$A$11:$H$22,6,FALSE)</f>
        <v>#N/A</v>
      </c>
      <c r="H89" s="484">
        <f>VLOOKUP(A89,'[3]Resumo'!$A$11:$H$645,8,FALSE)</f>
        <v>62829.42</v>
      </c>
      <c r="I89" s="276"/>
      <c r="J89" s="276"/>
      <c r="K89" s="276"/>
      <c r="L89" s="280"/>
    </row>
    <row r="90" spans="1:12" s="107" customFormat="1" ht="15" customHeight="1" hidden="1">
      <c r="A90" s="492"/>
      <c r="B90" s="497"/>
      <c r="C90" s="271"/>
      <c r="D90" s="271"/>
      <c r="E90" s="271"/>
      <c r="F90" s="271"/>
      <c r="G90" s="499"/>
      <c r="H90" s="495"/>
      <c r="I90" s="272">
        <f>H89*I89</f>
        <v>0</v>
      </c>
      <c r="J90" s="272">
        <f>I89*J89</f>
        <v>0</v>
      </c>
      <c r="K90" s="272">
        <f>J89*K89</f>
        <v>0</v>
      </c>
      <c r="L90" s="273">
        <f>$H89*L89</f>
        <v>0</v>
      </c>
    </row>
    <row r="91" spans="1:12" s="107" customFormat="1" ht="15" customHeight="1" hidden="1">
      <c r="A91" s="478" t="s">
        <v>141</v>
      </c>
      <c r="B91" s="496" t="e">
        <f>VLOOKUP(A91,Resumo!$A$11:$G$618,2,FALSE)</f>
        <v>#N/A</v>
      </c>
      <c r="C91" s="268"/>
      <c r="D91" s="268"/>
      <c r="E91" s="268"/>
      <c r="F91" s="268"/>
      <c r="G91" s="498" t="e">
        <f>VLOOKUP(A91,Resumo!$A$11:$H$22,6,FALSE)</f>
        <v>#N/A</v>
      </c>
      <c r="H91" s="484">
        <f>VLOOKUP(A91,'[3]Resumo'!$A$11:$H$645,8,FALSE)</f>
        <v>158983.23</v>
      </c>
      <c r="I91" s="274"/>
      <c r="J91" s="274"/>
      <c r="K91" s="274"/>
      <c r="L91" s="275"/>
    </row>
    <row r="92" spans="1:12" s="107" customFormat="1" ht="15" customHeight="1" hidden="1">
      <c r="A92" s="492"/>
      <c r="B92" s="497"/>
      <c r="C92" s="271"/>
      <c r="D92" s="271"/>
      <c r="E92" s="271"/>
      <c r="F92" s="271"/>
      <c r="G92" s="499"/>
      <c r="H92" s="495"/>
      <c r="I92" s="272">
        <f>H91*I91</f>
        <v>0</v>
      </c>
      <c r="J92" s="272">
        <f>I91*J91</f>
        <v>0</v>
      </c>
      <c r="K92" s="272">
        <f>J91*K91</f>
        <v>0</v>
      </c>
      <c r="L92" s="273">
        <f>$H91*L91</f>
        <v>0</v>
      </c>
    </row>
    <row r="93" spans="1:12" s="107" customFormat="1" ht="15" customHeight="1" hidden="1">
      <c r="A93" s="478" t="s">
        <v>142</v>
      </c>
      <c r="B93" s="496" t="e">
        <f>VLOOKUP(A93,Resumo!$A$11:$G$618,2,FALSE)</f>
        <v>#N/A</v>
      </c>
      <c r="C93" s="268"/>
      <c r="D93" s="268"/>
      <c r="E93" s="268"/>
      <c r="F93" s="268"/>
      <c r="G93" s="498" t="e">
        <f>VLOOKUP(A93,Resumo!$A$11:$H$22,6,FALSE)</f>
        <v>#N/A</v>
      </c>
      <c r="H93" s="484">
        <f>VLOOKUP(A93,'[3]Resumo'!$A$11:$H$645,8,FALSE)</f>
        <v>10920.69</v>
      </c>
      <c r="I93" s="274"/>
      <c r="J93" s="274"/>
      <c r="K93" s="274"/>
      <c r="L93" s="275"/>
    </row>
    <row r="94" spans="1:12" s="107" customFormat="1" ht="15" customHeight="1" hidden="1">
      <c r="A94" s="492"/>
      <c r="B94" s="497"/>
      <c r="C94" s="271"/>
      <c r="D94" s="271"/>
      <c r="E94" s="271"/>
      <c r="F94" s="271"/>
      <c r="G94" s="499"/>
      <c r="H94" s="495"/>
      <c r="I94" s="272">
        <f>H93*I93</f>
        <v>0</v>
      </c>
      <c r="J94" s="272">
        <f>I93*J93</f>
        <v>0</v>
      </c>
      <c r="K94" s="272">
        <f>J93*K93</f>
        <v>0</v>
      </c>
      <c r="L94" s="273">
        <f>$H93*L93</f>
        <v>0</v>
      </c>
    </row>
    <row r="95" spans="1:12" s="107" customFormat="1" ht="15" customHeight="1" hidden="1">
      <c r="A95" s="478" t="s">
        <v>143</v>
      </c>
      <c r="B95" s="496" t="e">
        <f>VLOOKUP(A95,Resumo!$A$11:$G$618,2,FALSE)</f>
        <v>#N/A</v>
      </c>
      <c r="C95" s="268"/>
      <c r="D95" s="268"/>
      <c r="E95" s="268"/>
      <c r="F95" s="268"/>
      <c r="G95" s="498" t="e">
        <f>VLOOKUP(A95,Resumo!$A$11:$H$22,6,FALSE)</f>
        <v>#N/A</v>
      </c>
      <c r="H95" s="484">
        <f>VLOOKUP(A95,'[3]Resumo'!$A$11:$H$645,8,FALSE)</f>
        <v>32645.16</v>
      </c>
      <c r="I95" s="274"/>
      <c r="J95" s="274"/>
      <c r="K95" s="274"/>
      <c r="L95" s="275"/>
    </row>
    <row r="96" spans="1:12" s="107" customFormat="1" ht="15" customHeight="1" hidden="1">
      <c r="A96" s="492"/>
      <c r="B96" s="497"/>
      <c r="C96" s="271"/>
      <c r="D96" s="271"/>
      <c r="E96" s="271"/>
      <c r="F96" s="271"/>
      <c r="G96" s="499"/>
      <c r="H96" s="495"/>
      <c r="I96" s="272">
        <f>H95*I95</f>
        <v>0</v>
      </c>
      <c r="J96" s="272">
        <f>I95*J95</f>
        <v>0</v>
      </c>
      <c r="K96" s="272">
        <f>J95*K95</f>
        <v>0</v>
      </c>
      <c r="L96" s="273">
        <f>$H95*L95</f>
        <v>0</v>
      </c>
    </row>
    <row r="97" spans="1:12" s="107" customFormat="1" ht="15" customHeight="1" hidden="1">
      <c r="A97" s="478" t="s">
        <v>144</v>
      </c>
      <c r="B97" s="496" t="e">
        <f>VLOOKUP(A97,Resumo!$A$11:$G$618,2,FALSE)</f>
        <v>#N/A</v>
      </c>
      <c r="C97" s="268"/>
      <c r="D97" s="268"/>
      <c r="E97" s="268"/>
      <c r="F97" s="268"/>
      <c r="G97" s="498" t="e">
        <f>VLOOKUP(A97,Resumo!$A$11:$H$22,6,FALSE)</f>
        <v>#N/A</v>
      </c>
      <c r="H97" s="484">
        <f>VLOOKUP(A97,'[3]Resumo'!$A$11:$H$645,8,FALSE)</f>
        <v>20365.83</v>
      </c>
      <c r="I97" s="276"/>
      <c r="J97" s="276"/>
      <c r="K97" s="276"/>
      <c r="L97" s="280"/>
    </row>
    <row r="98" spans="1:12" s="107" customFormat="1" ht="15" customHeight="1" hidden="1">
      <c r="A98" s="492"/>
      <c r="B98" s="497"/>
      <c r="C98" s="271"/>
      <c r="D98" s="271"/>
      <c r="E98" s="271"/>
      <c r="F98" s="271"/>
      <c r="G98" s="499"/>
      <c r="H98" s="495"/>
      <c r="I98" s="272">
        <f>H97*I97</f>
        <v>0</v>
      </c>
      <c r="J98" s="272">
        <f>I97*J97</f>
        <v>0</v>
      </c>
      <c r="K98" s="272">
        <f>J97*K97</f>
        <v>0</v>
      </c>
      <c r="L98" s="273">
        <f>$H97*L97</f>
        <v>0</v>
      </c>
    </row>
    <row r="99" spans="1:12" s="107" customFormat="1" ht="15" customHeight="1" hidden="1">
      <c r="A99" s="478" t="s">
        <v>145</v>
      </c>
      <c r="B99" s="496" t="e">
        <f>VLOOKUP(A99,Resumo!$A$11:$G$618,2,FALSE)</f>
        <v>#N/A</v>
      </c>
      <c r="C99" s="268"/>
      <c r="D99" s="268"/>
      <c r="E99" s="268"/>
      <c r="F99" s="268"/>
      <c r="G99" s="498" t="e">
        <f>VLOOKUP(A99,Resumo!$A$11:$H$22,6,FALSE)</f>
        <v>#N/A</v>
      </c>
      <c r="H99" s="484">
        <f>VLOOKUP(A99,'[3]Resumo'!$A$11:$H$645,8,FALSE)</f>
        <v>20520.94</v>
      </c>
      <c r="I99" s="276"/>
      <c r="J99" s="276"/>
      <c r="K99" s="276"/>
      <c r="L99" s="280"/>
    </row>
    <row r="100" spans="1:12" s="107" customFormat="1" ht="15" customHeight="1" hidden="1">
      <c r="A100" s="492"/>
      <c r="B100" s="497"/>
      <c r="C100" s="271"/>
      <c r="D100" s="271"/>
      <c r="E100" s="271"/>
      <c r="F100" s="271"/>
      <c r="G100" s="499"/>
      <c r="H100" s="495"/>
      <c r="I100" s="272">
        <f>H99*I99</f>
        <v>0</v>
      </c>
      <c r="J100" s="272">
        <f>I99*J99</f>
        <v>0</v>
      </c>
      <c r="K100" s="272">
        <f>J99*K99</f>
        <v>0</v>
      </c>
      <c r="L100" s="273">
        <f>$H99*L99</f>
        <v>0</v>
      </c>
    </row>
    <row r="101" spans="1:12" s="107" customFormat="1" ht="15" customHeight="1" hidden="1">
      <c r="A101" s="478" t="s">
        <v>146</v>
      </c>
      <c r="B101" s="496" t="e">
        <f>VLOOKUP(A101,Resumo!$A$11:$G$618,2,FALSE)</f>
        <v>#N/A</v>
      </c>
      <c r="C101" s="268"/>
      <c r="D101" s="268"/>
      <c r="E101" s="268"/>
      <c r="F101" s="268"/>
      <c r="G101" s="498" t="e">
        <f>VLOOKUP(A101,Resumo!$A$11:$H$22,6,FALSE)</f>
        <v>#N/A</v>
      </c>
      <c r="H101" s="484">
        <f>VLOOKUP(A101,'[3]Resumo'!$A$11:$H$645,8,FALSE)</f>
        <v>3728.53</v>
      </c>
      <c r="I101" s="274"/>
      <c r="J101" s="274"/>
      <c r="K101" s="274"/>
      <c r="L101" s="275"/>
    </row>
    <row r="102" spans="1:12" s="107" customFormat="1" ht="15" customHeight="1" hidden="1">
      <c r="A102" s="492"/>
      <c r="B102" s="497"/>
      <c r="C102" s="271"/>
      <c r="D102" s="271"/>
      <c r="E102" s="271"/>
      <c r="F102" s="271"/>
      <c r="G102" s="499"/>
      <c r="H102" s="495"/>
      <c r="I102" s="272">
        <f>H101*I101</f>
        <v>0</v>
      </c>
      <c r="J102" s="272">
        <f>I101*J101</f>
        <v>0</v>
      </c>
      <c r="K102" s="272">
        <f>J101*K101</f>
        <v>0</v>
      </c>
      <c r="L102" s="273">
        <f>$H101*L101</f>
        <v>0</v>
      </c>
    </row>
    <row r="103" spans="1:12" s="107" customFormat="1" ht="15" customHeight="1" hidden="1">
      <c r="A103" s="478" t="s">
        <v>147</v>
      </c>
      <c r="B103" s="496" t="e">
        <f>VLOOKUP(A103,Resumo!$A$11:$G$618,2,FALSE)</f>
        <v>#N/A</v>
      </c>
      <c r="C103" s="268"/>
      <c r="D103" s="268"/>
      <c r="E103" s="268"/>
      <c r="F103" s="268"/>
      <c r="G103" s="498" t="e">
        <f>VLOOKUP(A103,Resumo!$A$11:$H$22,6,FALSE)</f>
        <v>#N/A</v>
      </c>
      <c r="H103" s="484">
        <f>VLOOKUP(A103,'[3]Resumo'!$A$11:$H$645,8,FALSE)</f>
        <v>14751.78</v>
      </c>
      <c r="I103" s="274"/>
      <c r="J103" s="274"/>
      <c r="K103" s="274"/>
      <c r="L103" s="275"/>
    </row>
    <row r="104" spans="1:12" s="107" customFormat="1" ht="15" customHeight="1" hidden="1">
      <c r="A104" s="492"/>
      <c r="B104" s="497"/>
      <c r="C104" s="271"/>
      <c r="D104" s="271"/>
      <c r="E104" s="271"/>
      <c r="F104" s="271"/>
      <c r="G104" s="499"/>
      <c r="H104" s="495"/>
      <c r="I104" s="272">
        <f>H103*I103</f>
        <v>0</v>
      </c>
      <c r="J104" s="272">
        <f>I103*J103</f>
        <v>0</v>
      </c>
      <c r="K104" s="272">
        <f>J103*K103</f>
        <v>0</v>
      </c>
      <c r="L104" s="273">
        <f>$H103*L103</f>
        <v>0</v>
      </c>
    </row>
    <row r="105" spans="1:12" s="107" customFormat="1" ht="15" customHeight="1" hidden="1">
      <c r="A105" s="478" t="s">
        <v>148</v>
      </c>
      <c r="B105" s="496" t="e">
        <f>VLOOKUP(A105,Resumo!$A$11:$G$618,2,FALSE)</f>
        <v>#N/A</v>
      </c>
      <c r="C105" s="268"/>
      <c r="D105" s="268"/>
      <c r="E105" s="268"/>
      <c r="F105" s="268"/>
      <c r="G105" s="498" t="e">
        <f>VLOOKUP(A105,Resumo!$A$11:$H$22,6,FALSE)</f>
        <v>#N/A</v>
      </c>
      <c r="H105" s="484">
        <f>VLOOKUP(A105,'[3]Resumo'!$A$11:$H$645,8,FALSE)</f>
        <v>7288.27</v>
      </c>
      <c r="I105" s="274"/>
      <c r="J105" s="274"/>
      <c r="K105" s="274"/>
      <c r="L105" s="275"/>
    </row>
    <row r="106" spans="1:12" s="107" customFormat="1" ht="15" customHeight="1" hidden="1" thickBot="1">
      <c r="A106" s="479"/>
      <c r="B106" s="497"/>
      <c r="C106" s="277"/>
      <c r="D106" s="277"/>
      <c r="E106" s="277"/>
      <c r="F106" s="277"/>
      <c r="G106" s="499"/>
      <c r="H106" s="485"/>
      <c r="I106" s="278">
        <f>H105*I105</f>
        <v>0</v>
      </c>
      <c r="J106" s="278">
        <f>I105*J105</f>
        <v>0</v>
      </c>
      <c r="K106" s="278">
        <f>J105*K105</f>
        <v>0</v>
      </c>
      <c r="L106" s="279">
        <f>$H105*L105</f>
        <v>0</v>
      </c>
    </row>
    <row r="107" spans="1:12" s="106" customFormat="1" ht="15" customHeight="1">
      <c r="A107" s="500">
        <v>4</v>
      </c>
      <c r="B107" s="496" t="str">
        <f>VLOOKUP(A107,Resumo!$A$11:$G$618,2,FALSE)</f>
        <v>DIVERSOS</v>
      </c>
      <c r="C107" s="261"/>
      <c r="D107" s="261"/>
      <c r="E107" s="261"/>
      <c r="F107" s="261"/>
      <c r="G107" s="498">
        <f>Resumo!G14</f>
        <v>0.3088</v>
      </c>
      <c r="H107" s="262">
        <f>SUM(I107:L107)</f>
        <v>1</v>
      </c>
      <c r="I107" s="263">
        <v>0.1</v>
      </c>
      <c r="J107" s="263">
        <v>0.3</v>
      </c>
      <c r="K107" s="263">
        <v>0.3</v>
      </c>
      <c r="L107" s="264">
        <v>0.3</v>
      </c>
    </row>
    <row r="108" spans="1:12" s="106" customFormat="1" ht="15" customHeight="1" thickBot="1">
      <c r="A108" s="501"/>
      <c r="B108" s="497"/>
      <c r="C108" s="265"/>
      <c r="D108" s="265"/>
      <c r="E108" s="265"/>
      <c r="F108" s="265"/>
      <c r="G108" s="499"/>
      <c r="H108" s="266">
        <f>Resumo!I14</f>
        <v>84798.81</v>
      </c>
      <c r="I108" s="267">
        <f>$H$108*I107</f>
        <v>8479.88</v>
      </c>
      <c r="J108" s="267">
        <f>$H$108*J107</f>
        <v>25439.64</v>
      </c>
      <c r="K108" s="267">
        <f>$H$108*K107</f>
        <v>25439.64</v>
      </c>
      <c r="L108" s="267">
        <f>$H$108*L107</f>
        <v>25439.64</v>
      </c>
    </row>
    <row r="109" spans="1:12" s="107" customFormat="1" ht="15" customHeight="1" hidden="1">
      <c r="A109" s="478" t="s">
        <v>149</v>
      </c>
      <c r="B109" s="480" t="str">
        <f>VLOOKUP(A109,'[3]Resumo'!$A$11:$G$645,2,FALSE)</f>
        <v>SERVIÇOS PRELIMINARES</v>
      </c>
      <c r="C109" s="268"/>
      <c r="D109" s="268"/>
      <c r="E109" s="268"/>
      <c r="F109" s="268"/>
      <c r="G109" s="482">
        <f>VLOOKUP(A109,'[3]Resumo'!$A$11:$H$645,6,FALSE)</f>
        <v>0.0091</v>
      </c>
      <c r="H109" s="484">
        <f>VLOOKUP(A109,'[3]Resumo'!$A$11:$H$645,8,FALSE)</f>
        <v>69656.23</v>
      </c>
      <c r="I109" s="269"/>
      <c r="J109" s="269"/>
      <c r="K109" s="269"/>
      <c r="L109" s="270"/>
    </row>
    <row r="110" spans="1:12" s="107" customFormat="1" ht="15" customHeight="1" hidden="1">
      <c r="A110" s="492"/>
      <c r="B110" s="493"/>
      <c r="C110" s="271"/>
      <c r="D110" s="271"/>
      <c r="E110" s="271"/>
      <c r="F110" s="271"/>
      <c r="G110" s="494"/>
      <c r="H110" s="495"/>
      <c r="I110" s="272">
        <f>H109*I109</f>
        <v>0</v>
      </c>
      <c r="J110" s="272">
        <f>I109*J109</f>
        <v>0</v>
      </c>
      <c r="K110" s="272">
        <f>J109*K109</f>
        <v>0</v>
      </c>
      <c r="L110" s="273">
        <f>H109*L109</f>
        <v>0</v>
      </c>
    </row>
    <row r="111" spans="1:12" s="107" customFormat="1" ht="15" customHeight="1" hidden="1">
      <c r="A111" s="478" t="s">
        <v>150</v>
      </c>
      <c r="B111" s="480" t="str">
        <f>VLOOKUP(A111,'[3]Resumo'!$A$11:$G$645,2,FALSE)</f>
        <v>ESCAVAÇÕES E MOVIMENTO DE TERRA</v>
      </c>
      <c r="C111" s="268"/>
      <c r="D111" s="268"/>
      <c r="E111" s="268"/>
      <c r="F111" s="268"/>
      <c r="G111" s="482">
        <f>VLOOKUP(A111,'[3]Resumo'!$A$11:$H$645,6,FALSE)</f>
        <v>0.0013</v>
      </c>
      <c r="H111" s="484">
        <f>VLOOKUP(A111,'[3]Resumo'!$A$11:$H$645,8,FALSE)</f>
        <v>10073.95</v>
      </c>
      <c r="I111" s="269"/>
      <c r="J111" s="269"/>
      <c r="K111" s="269"/>
      <c r="L111" s="270"/>
    </row>
    <row r="112" spans="1:12" s="107" customFormat="1" ht="15" customHeight="1" hidden="1">
      <c r="A112" s="492"/>
      <c r="B112" s="493"/>
      <c r="C112" s="271"/>
      <c r="D112" s="271"/>
      <c r="E112" s="271"/>
      <c r="F112" s="271"/>
      <c r="G112" s="494"/>
      <c r="H112" s="495"/>
      <c r="I112" s="272">
        <f>H111*I111</f>
        <v>0</v>
      </c>
      <c r="J112" s="272">
        <f>I111*J111</f>
        <v>0</v>
      </c>
      <c r="K112" s="272">
        <f>J111*K111</f>
        <v>0</v>
      </c>
      <c r="L112" s="273">
        <f>H111*L111</f>
        <v>0</v>
      </c>
    </row>
    <row r="113" spans="1:12" s="107" customFormat="1" ht="15" customHeight="1" hidden="1">
      <c r="A113" s="478" t="s">
        <v>151</v>
      </c>
      <c r="B113" s="480" t="str">
        <f>VLOOKUP(A113,'[3]Resumo'!$A$11:$G$645,2,FALSE)</f>
        <v>INFRAESTRUTURA E SUPRAESTRUTURA</v>
      </c>
      <c r="C113" s="268"/>
      <c r="D113" s="268"/>
      <c r="E113" s="268"/>
      <c r="F113" s="268"/>
      <c r="G113" s="482">
        <f>VLOOKUP(A113,'[3]Resumo'!$A$11:$H$645,6,FALSE)</f>
        <v>0.0945</v>
      </c>
      <c r="H113" s="484">
        <f>VLOOKUP(A113,'[3]Resumo'!$A$11:$H$645,8,FALSE)</f>
        <v>723383.93</v>
      </c>
      <c r="I113" s="274"/>
      <c r="J113" s="274"/>
      <c r="K113" s="274"/>
      <c r="L113" s="275"/>
    </row>
    <row r="114" spans="1:12" s="107" customFormat="1" ht="15" customHeight="1" hidden="1">
      <c r="A114" s="492"/>
      <c r="B114" s="493"/>
      <c r="C114" s="271"/>
      <c r="D114" s="271"/>
      <c r="E114" s="271"/>
      <c r="F114" s="271"/>
      <c r="G114" s="494"/>
      <c r="H114" s="495"/>
      <c r="I114" s="272">
        <f>H113*I113</f>
        <v>0</v>
      </c>
      <c r="J114" s="272">
        <f>I113*J113</f>
        <v>0</v>
      </c>
      <c r="K114" s="272">
        <f>J113*K113</f>
        <v>0</v>
      </c>
      <c r="L114" s="273">
        <f>H113*L113</f>
        <v>0</v>
      </c>
    </row>
    <row r="115" spans="1:12" s="107" customFormat="1" ht="15" customHeight="1" hidden="1">
      <c r="A115" s="478" t="s">
        <v>152</v>
      </c>
      <c r="B115" s="480" t="str">
        <f>VLOOKUP(A115,'[3]Resumo'!$A$11:$G$645,2,FALSE)</f>
        <v>IMPERMEABILIZAÇÕES / JUNTA DILATAÇÃO</v>
      </c>
      <c r="C115" s="268"/>
      <c r="D115" s="268"/>
      <c r="E115" s="268"/>
      <c r="F115" s="268"/>
      <c r="G115" s="482">
        <f>VLOOKUP(A115,'[3]Resumo'!$A$11:$H$645,6,FALSE)</f>
        <v>0.0008</v>
      </c>
      <c r="H115" s="484">
        <f>VLOOKUP(A115,'[3]Resumo'!$A$11:$H$645,8,FALSE)</f>
        <v>5846.46</v>
      </c>
      <c r="I115" s="274"/>
      <c r="J115" s="274"/>
      <c r="K115" s="274"/>
      <c r="L115" s="275"/>
    </row>
    <row r="116" spans="1:12" s="107" customFormat="1" ht="15" customHeight="1" hidden="1">
      <c r="A116" s="492"/>
      <c r="B116" s="493"/>
      <c r="C116" s="271"/>
      <c r="D116" s="271"/>
      <c r="E116" s="271"/>
      <c r="F116" s="271"/>
      <c r="G116" s="494"/>
      <c r="H116" s="495"/>
      <c r="I116" s="272">
        <f>H115*I115</f>
        <v>0</v>
      </c>
      <c r="J116" s="272">
        <f>I115*J115</f>
        <v>0</v>
      </c>
      <c r="K116" s="272">
        <f>J115*K115</f>
        <v>0</v>
      </c>
      <c r="L116" s="273">
        <f>H115*L115</f>
        <v>0</v>
      </c>
    </row>
    <row r="117" spans="1:12" s="107" customFormat="1" ht="15" customHeight="1" hidden="1">
      <c r="A117" s="478" t="s">
        <v>153</v>
      </c>
      <c r="B117" s="480" t="str">
        <f>VLOOKUP(A117,'[3]Resumo'!$A$11:$G$645,2,FALSE)</f>
        <v>ESTRUTURA METALICA</v>
      </c>
      <c r="C117" s="268"/>
      <c r="D117" s="268"/>
      <c r="E117" s="268"/>
      <c r="F117" s="268"/>
      <c r="G117" s="482">
        <f>VLOOKUP(A117,'[3]Resumo'!$A$11:$H$645,6,FALSE)</f>
        <v>0.0103</v>
      </c>
      <c r="H117" s="484">
        <f>VLOOKUP(A117,'[3]Resumo'!$A$11:$H$645,8,FALSE)</f>
        <v>78772.24</v>
      </c>
      <c r="I117" s="276"/>
      <c r="J117" s="276"/>
      <c r="K117" s="276"/>
      <c r="L117" s="275"/>
    </row>
    <row r="118" spans="1:12" s="107" customFormat="1" ht="15" customHeight="1" hidden="1">
      <c r="A118" s="492"/>
      <c r="B118" s="493"/>
      <c r="C118" s="271"/>
      <c r="D118" s="271"/>
      <c r="E118" s="271"/>
      <c r="F118" s="271"/>
      <c r="G118" s="494"/>
      <c r="H118" s="495"/>
      <c r="I118" s="272">
        <f>H117*I117</f>
        <v>0</v>
      </c>
      <c r="J118" s="272">
        <f>I117*J117</f>
        <v>0</v>
      </c>
      <c r="K118" s="272">
        <f>J117*K117</f>
        <v>0</v>
      </c>
      <c r="L118" s="273">
        <f>H117*L117</f>
        <v>0</v>
      </c>
    </row>
    <row r="119" spans="1:12" s="107" customFormat="1" ht="15" customHeight="1" hidden="1">
      <c r="A119" s="478" t="s">
        <v>154</v>
      </c>
      <c r="B119" s="480" t="str">
        <f>VLOOKUP(A119,'[3]Resumo'!$A$11:$G$645,2,FALSE)</f>
        <v>ALVENARIAS E DIVISÓRIAS</v>
      </c>
      <c r="C119" s="268"/>
      <c r="D119" s="268"/>
      <c r="E119" s="268"/>
      <c r="F119" s="268"/>
      <c r="G119" s="482">
        <f>VLOOKUP(A119,'[3]Resumo'!$A$11:$H$645,6,FALSE)</f>
        <v>0.0022</v>
      </c>
      <c r="H119" s="484">
        <f>VLOOKUP(A119,'[3]Resumo'!$A$11:$H$645,8,FALSE)</f>
        <v>16660.49</v>
      </c>
      <c r="I119" s="276"/>
      <c r="J119" s="276"/>
      <c r="K119" s="276"/>
      <c r="L119" s="275"/>
    </row>
    <row r="120" spans="1:12" s="107" customFormat="1" ht="15" customHeight="1" hidden="1">
      <c r="A120" s="492"/>
      <c r="B120" s="493"/>
      <c r="C120" s="271"/>
      <c r="D120" s="271"/>
      <c r="E120" s="271"/>
      <c r="F120" s="271"/>
      <c r="G120" s="494"/>
      <c r="H120" s="495"/>
      <c r="I120" s="272">
        <f>H119*I119</f>
        <v>0</v>
      </c>
      <c r="J120" s="272">
        <f>I119*J119</f>
        <v>0</v>
      </c>
      <c r="K120" s="272">
        <f>J119*K119</f>
        <v>0</v>
      </c>
      <c r="L120" s="273">
        <f>H119*L119</f>
        <v>0</v>
      </c>
    </row>
    <row r="121" spans="1:12" s="107" customFormat="1" ht="15" customHeight="1" hidden="1">
      <c r="A121" s="478" t="s">
        <v>155</v>
      </c>
      <c r="B121" s="480" t="str">
        <f>VLOOKUP(A121,'[3]Resumo'!$A$11:$G$645,2,FALSE)</f>
        <v>COBERTURA E PROTEÇÕES</v>
      </c>
      <c r="C121" s="268"/>
      <c r="D121" s="268"/>
      <c r="E121" s="268"/>
      <c r="F121" s="268"/>
      <c r="G121" s="482">
        <f>VLOOKUP(A121,'[3]Resumo'!$A$11:$H$645,6,FALSE)</f>
        <v>0.0165</v>
      </c>
      <c r="H121" s="484">
        <f>VLOOKUP(A121,'[3]Resumo'!$A$11:$H$645,8,FALSE)</f>
        <v>126555.85</v>
      </c>
      <c r="I121" s="276"/>
      <c r="J121" s="276"/>
      <c r="K121" s="276"/>
      <c r="L121" s="275"/>
    </row>
    <row r="122" spans="1:12" s="107" customFormat="1" ht="15" customHeight="1" hidden="1">
      <c r="A122" s="492"/>
      <c r="B122" s="493"/>
      <c r="C122" s="271"/>
      <c r="D122" s="271"/>
      <c r="E122" s="271"/>
      <c r="F122" s="271"/>
      <c r="G122" s="494"/>
      <c r="H122" s="495"/>
      <c r="I122" s="272">
        <f>H121*I121</f>
        <v>0</v>
      </c>
      <c r="J122" s="272">
        <f>I121*J121</f>
        <v>0</v>
      </c>
      <c r="K122" s="272">
        <f>J121*K121</f>
        <v>0</v>
      </c>
      <c r="L122" s="273">
        <f>H121*L121</f>
        <v>0</v>
      </c>
    </row>
    <row r="123" spans="1:12" s="107" customFormat="1" ht="15" customHeight="1" hidden="1">
      <c r="A123" s="478" t="s">
        <v>156</v>
      </c>
      <c r="B123" s="480" t="str">
        <f>VLOOKUP(A123,'[3]Resumo'!$A$11:$G$645,2,FALSE)</f>
        <v>REVESTIMENTOS</v>
      </c>
      <c r="C123" s="268"/>
      <c r="D123" s="268"/>
      <c r="E123" s="268"/>
      <c r="F123" s="268"/>
      <c r="G123" s="482">
        <f>VLOOKUP(A123,'[3]Resumo'!$A$11:$H$645,6,FALSE)</f>
        <v>0.0068</v>
      </c>
      <c r="H123" s="484">
        <f>VLOOKUP(A123,'[3]Resumo'!$A$11:$H$645,8,FALSE)</f>
        <v>51829.72</v>
      </c>
      <c r="I123" s="274"/>
      <c r="J123" s="274"/>
      <c r="K123" s="274"/>
      <c r="L123" s="275"/>
    </row>
    <row r="124" spans="1:12" s="107" customFormat="1" ht="15" customHeight="1" hidden="1">
      <c r="A124" s="492"/>
      <c r="B124" s="493"/>
      <c r="C124" s="271"/>
      <c r="D124" s="271"/>
      <c r="E124" s="271"/>
      <c r="F124" s="271"/>
      <c r="G124" s="494"/>
      <c r="H124" s="495"/>
      <c r="I124" s="272">
        <f>H123*I123</f>
        <v>0</v>
      </c>
      <c r="J124" s="272">
        <f>I123*J123</f>
        <v>0</v>
      </c>
      <c r="K124" s="272">
        <f>J123*K123</f>
        <v>0</v>
      </c>
      <c r="L124" s="273">
        <f>H123*L123</f>
        <v>0</v>
      </c>
    </row>
    <row r="125" spans="1:12" s="107" customFormat="1" ht="15" customHeight="1" hidden="1">
      <c r="A125" s="478" t="s">
        <v>157</v>
      </c>
      <c r="B125" s="480" t="str">
        <f>VLOOKUP(A125,'[3]Resumo'!$A$11:$G$645,2,FALSE)</f>
        <v>PAVIMENTAÇÃO</v>
      </c>
      <c r="C125" s="268"/>
      <c r="D125" s="268"/>
      <c r="E125" s="268"/>
      <c r="F125" s="268"/>
      <c r="G125" s="482">
        <f>VLOOKUP(A125,'[3]Resumo'!$A$11:$H$645,6,FALSE)</f>
        <v>0.0028</v>
      </c>
      <c r="H125" s="484">
        <f>VLOOKUP(A125,'[3]Resumo'!$A$11:$H$645,8,FALSE)</f>
        <v>21586.81</v>
      </c>
      <c r="I125" s="274"/>
      <c r="J125" s="274"/>
      <c r="K125" s="274"/>
      <c r="L125" s="275"/>
    </row>
    <row r="126" spans="1:12" s="107" customFormat="1" ht="15" customHeight="1" hidden="1">
      <c r="A126" s="492"/>
      <c r="B126" s="493"/>
      <c r="C126" s="271"/>
      <c r="D126" s="271"/>
      <c r="E126" s="271"/>
      <c r="F126" s="271"/>
      <c r="G126" s="494"/>
      <c r="H126" s="495"/>
      <c r="I126" s="272">
        <f>H125*I125</f>
        <v>0</v>
      </c>
      <c r="J126" s="272">
        <f>I125*J125</f>
        <v>0</v>
      </c>
      <c r="K126" s="272">
        <f>J125*K125</f>
        <v>0</v>
      </c>
      <c r="L126" s="273">
        <f>H125*L125</f>
        <v>0</v>
      </c>
    </row>
    <row r="127" spans="1:12" s="107" customFormat="1" ht="15" customHeight="1" hidden="1">
      <c r="A127" s="478" t="s">
        <v>158</v>
      </c>
      <c r="B127" s="480" t="str">
        <f>VLOOKUP(A127,'[3]Resumo'!$A$11:$G$645,2,FALSE)</f>
        <v>PINTURAS</v>
      </c>
      <c r="C127" s="268"/>
      <c r="D127" s="268"/>
      <c r="E127" s="268"/>
      <c r="F127" s="268"/>
      <c r="G127" s="482">
        <f>VLOOKUP(A127,'[3]Resumo'!$A$11:$H$645,6,FALSE)</f>
        <v>0.0058</v>
      </c>
      <c r="H127" s="484">
        <f>VLOOKUP(A127,'[3]Resumo'!$A$11:$H$645,8,FALSE)</f>
        <v>44326.2</v>
      </c>
      <c r="I127" s="274"/>
      <c r="J127" s="274"/>
      <c r="K127" s="274"/>
      <c r="L127" s="275"/>
    </row>
    <row r="128" spans="1:12" s="107" customFormat="1" ht="15" customHeight="1" hidden="1">
      <c r="A128" s="492"/>
      <c r="B128" s="493"/>
      <c r="C128" s="271"/>
      <c r="D128" s="271"/>
      <c r="E128" s="271"/>
      <c r="F128" s="271"/>
      <c r="G128" s="494"/>
      <c r="H128" s="495"/>
      <c r="I128" s="272">
        <f>H127*I127</f>
        <v>0</v>
      </c>
      <c r="J128" s="272">
        <f>I127*J127</f>
        <v>0</v>
      </c>
      <c r="K128" s="272">
        <f>J127*K127</f>
        <v>0</v>
      </c>
      <c r="L128" s="273">
        <f>H127*L127</f>
        <v>0</v>
      </c>
    </row>
    <row r="129" spans="1:12" s="107" customFormat="1" ht="15" customHeight="1" hidden="1">
      <c r="A129" s="478" t="s">
        <v>159</v>
      </c>
      <c r="B129" s="480" t="str">
        <f>VLOOKUP(A129,'[3]Resumo'!$A$11:$G$645,2,FALSE)</f>
        <v>INSTALAÇÕES ELÉTRICAS</v>
      </c>
      <c r="C129" s="268"/>
      <c r="D129" s="268"/>
      <c r="E129" s="268"/>
      <c r="F129" s="268"/>
      <c r="G129" s="482">
        <f>VLOOKUP(A129,'[3]Resumo'!$A$11:$H$645,6,FALSE)</f>
        <v>0.0055</v>
      </c>
      <c r="H129" s="484">
        <f>VLOOKUP(A129,'[3]Resumo'!$A$11:$H$645,8,FALSE)</f>
        <v>42018.86</v>
      </c>
      <c r="I129" s="276"/>
      <c r="J129" s="276"/>
      <c r="K129" s="276"/>
      <c r="L129" s="275"/>
    </row>
    <row r="130" spans="1:12" s="107" customFormat="1" ht="15" customHeight="1" hidden="1">
      <c r="A130" s="492"/>
      <c r="B130" s="493"/>
      <c r="C130" s="271"/>
      <c r="D130" s="271"/>
      <c r="E130" s="271"/>
      <c r="F130" s="271"/>
      <c r="G130" s="494"/>
      <c r="H130" s="495"/>
      <c r="I130" s="272">
        <f>H129*I129</f>
        <v>0</v>
      </c>
      <c r="J130" s="272">
        <f>I129*J129</f>
        <v>0</v>
      </c>
      <c r="K130" s="272">
        <f>J129*K129</f>
        <v>0</v>
      </c>
      <c r="L130" s="273">
        <f>H129*L129</f>
        <v>0</v>
      </c>
    </row>
    <row r="131" spans="1:12" s="107" customFormat="1" ht="15" customHeight="1" hidden="1">
      <c r="A131" s="478" t="s">
        <v>160</v>
      </c>
      <c r="B131" s="480" t="str">
        <f>VLOOKUP(A131,'[3]Resumo'!$A$11:$G$645,2,FALSE)</f>
        <v>INSTALAÇÕES HIDROSSANITÁRIAS</v>
      </c>
      <c r="C131" s="268"/>
      <c r="D131" s="268"/>
      <c r="E131" s="268"/>
      <c r="F131" s="268"/>
      <c r="G131" s="482">
        <f>VLOOKUP(A131,'[3]Resumo'!$A$11:$H$645,6,FALSE)</f>
        <v>0.0065</v>
      </c>
      <c r="H131" s="484">
        <f>VLOOKUP(A131,'[3]Resumo'!$A$11:$H$645,8,FALSE)</f>
        <v>49456.89</v>
      </c>
      <c r="I131" s="276"/>
      <c r="J131" s="276"/>
      <c r="K131" s="276"/>
      <c r="L131" s="275"/>
    </row>
    <row r="132" spans="1:12" s="107" customFormat="1" ht="15" customHeight="1" hidden="1">
      <c r="A132" s="492"/>
      <c r="B132" s="493"/>
      <c r="C132" s="271"/>
      <c r="D132" s="271"/>
      <c r="E132" s="271"/>
      <c r="F132" s="271"/>
      <c r="G132" s="494"/>
      <c r="H132" s="495"/>
      <c r="I132" s="272">
        <f>H131*I131</f>
        <v>0</v>
      </c>
      <c r="J132" s="272">
        <f>I131*J131</f>
        <v>0</v>
      </c>
      <c r="K132" s="272">
        <f>J131*K131</f>
        <v>0</v>
      </c>
      <c r="L132" s="273">
        <f>H131*L131</f>
        <v>0</v>
      </c>
    </row>
    <row r="133" spans="1:12" s="107" customFormat="1" ht="15" customHeight="1" hidden="1">
      <c r="A133" s="478" t="s">
        <v>161</v>
      </c>
      <c r="B133" s="480" t="str">
        <f>VLOOKUP(A133,'[3]Resumo'!$A$11:$G$645,2,FALSE)</f>
        <v>INSTALAÇÕES DE COMBATE A INCÊNDIO</v>
      </c>
      <c r="C133" s="268"/>
      <c r="D133" s="268"/>
      <c r="E133" s="268"/>
      <c r="F133" s="268"/>
      <c r="G133" s="482">
        <f>VLOOKUP(A133,'[3]Resumo'!$A$11:$H$645,6,FALSE)</f>
        <v>0.0005</v>
      </c>
      <c r="H133" s="484">
        <f>VLOOKUP(A133,'[3]Resumo'!$A$11:$H$645,8,FALSE)</f>
        <v>3552.23</v>
      </c>
      <c r="I133" s="274"/>
      <c r="J133" s="274"/>
      <c r="K133" s="274"/>
      <c r="L133" s="275"/>
    </row>
    <row r="134" spans="1:12" s="107" customFormat="1" ht="15" customHeight="1" hidden="1">
      <c r="A134" s="492"/>
      <c r="B134" s="493"/>
      <c r="C134" s="271"/>
      <c r="D134" s="271"/>
      <c r="E134" s="271"/>
      <c r="F134" s="271"/>
      <c r="G134" s="494"/>
      <c r="H134" s="495"/>
      <c r="I134" s="272">
        <f>H133*I133</f>
        <v>0</v>
      </c>
      <c r="J134" s="272">
        <f>I133*J133</f>
        <v>0</v>
      </c>
      <c r="K134" s="272">
        <f>J133*K133</f>
        <v>0</v>
      </c>
      <c r="L134" s="273">
        <f>H133*L133</f>
        <v>0</v>
      </c>
    </row>
    <row r="135" spans="1:12" s="107" customFormat="1" ht="15" customHeight="1" hidden="1">
      <c r="A135" s="478" t="s">
        <v>162</v>
      </c>
      <c r="B135" s="480" t="str">
        <f>VLOOKUP(A135,'[3]Resumo'!$A$11:$G$645,2,FALSE)</f>
        <v>INSTALAÇÕES SPDA</v>
      </c>
      <c r="C135" s="268"/>
      <c r="D135" s="268"/>
      <c r="E135" s="268"/>
      <c r="F135" s="268"/>
      <c r="G135" s="482">
        <f>VLOOKUP(A135,'[3]Resumo'!$A$11:$H$645,6,FALSE)</f>
        <v>0.0033</v>
      </c>
      <c r="H135" s="484">
        <f>VLOOKUP(A135,'[3]Resumo'!$A$11:$H$645,8,FALSE)</f>
        <v>25343.16</v>
      </c>
      <c r="I135" s="274"/>
      <c r="J135" s="274"/>
      <c r="K135" s="274"/>
      <c r="L135" s="275"/>
    </row>
    <row r="136" spans="1:12" s="107" customFormat="1" ht="15" customHeight="1" hidden="1">
      <c r="A136" s="492"/>
      <c r="B136" s="493"/>
      <c r="C136" s="271"/>
      <c r="D136" s="271"/>
      <c r="E136" s="271"/>
      <c r="F136" s="271"/>
      <c r="G136" s="494"/>
      <c r="H136" s="495"/>
      <c r="I136" s="272">
        <f>H135*I135</f>
        <v>0</v>
      </c>
      <c r="J136" s="272">
        <f>I135*J135</f>
        <v>0</v>
      </c>
      <c r="K136" s="272">
        <f>J135*K135</f>
        <v>0</v>
      </c>
      <c r="L136" s="273">
        <f>H135*L135</f>
        <v>0</v>
      </c>
    </row>
    <row r="137" spans="1:12" s="107" customFormat="1" ht="15" customHeight="1" hidden="1">
      <c r="A137" s="478" t="s">
        <v>163</v>
      </c>
      <c r="B137" s="480" t="str">
        <f>VLOOKUP(A137,'[3]Resumo'!$A$11:$G$645,2,FALSE)</f>
        <v>SERVIÇOS COMPLEMENTARES</v>
      </c>
      <c r="C137" s="268"/>
      <c r="D137" s="268"/>
      <c r="E137" s="268"/>
      <c r="F137" s="268"/>
      <c r="G137" s="482">
        <f>VLOOKUP(A137,'[3]Resumo'!$A$11:$H$645,6,FALSE)</f>
        <v>0.0019</v>
      </c>
      <c r="H137" s="484">
        <f>VLOOKUP(A137,'[3]Resumo'!$A$11:$H$645,8,FALSE)</f>
        <v>14406.65</v>
      </c>
      <c r="I137" s="274"/>
      <c r="J137" s="274"/>
      <c r="K137" s="274"/>
      <c r="L137" s="275"/>
    </row>
    <row r="138" spans="1:12" s="107" customFormat="1" ht="15" customHeight="1" hidden="1" thickBot="1">
      <c r="A138" s="479"/>
      <c r="B138" s="481"/>
      <c r="C138" s="277"/>
      <c r="D138" s="277"/>
      <c r="E138" s="277"/>
      <c r="F138" s="277"/>
      <c r="G138" s="483"/>
      <c r="H138" s="485"/>
      <c r="I138" s="278">
        <f>H137*I137</f>
        <v>0</v>
      </c>
      <c r="J138" s="278">
        <f>I137*J137</f>
        <v>0</v>
      </c>
      <c r="K138" s="278">
        <f>J137*K137</f>
        <v>0</v>
      </c>
      <c r="L138" s="279">
        <f>H137*L137</f>
        <v>0</v>
      </c>
    </row>
    <row r="139" spans="1:12" ht="15" customHeight="1">
      <c r="A139" s="488" t="s">
        <v>164</v>
      </c>
      <c r="B139" s="489"/>
      <c r="C139" s="281"/>
      <c r="D139" s="281"/>
      <c r="E139" s="281"/>
      <c r="F139" s="281"/>
      <c r="G139" s="282">
        <f>SUM(G107+G75+G43+G11)</f>
        <v>1</v>
      </c>
      <c r="H139" s="283">
        <f>H108+H76+H44+H12</f>
        <v>274629.97</v>
      </c>
      <c r="I139" s="284">
        <f>SUM(I12,I44,I76,I108)</f>
        <v>39505.37</v>
      </c>
      <c r="J139" s="284">
        <f>SUM(J12,J44,J76,J108)</f>
        <v>78427.13</v>
      </c>
      <c r="K139" s="284">
        <f>SUM(K12,K44,K76,K108)</f>
        <v>85907.17</v>
      </c>
      <c r="L139" s="285">
        <f>SUM(L12,L44,L76,L108)</f>
        <v>70790.29</v>
      </c>
    </row>
    <row r="140" spans="1:12" ht="12" customHeight="1">
      <c r="A140" s="490" t="s">
        <v>165</v>
      </c>
      <c r="B140" s="491"/>
      <c r="C140" s="286"/>
      <c r="D140" s="286"/>
      <c r="E140" s="286"/>
      <c r="F140" s="286"/>
      <c r="G140" s="287"/>
      <c r="H140" s="288"/>
      <c r="I140" s="289">
        <f>I139</f>
        <v>39505.37</v>
      </c>
      <c r="J140" s="289">
        <f>ROUND(I140+J139,2)</f>
        <v>117932.5</v>
      </c>
      <c r="K140" s="289">
        <f>ROUND(J140+K139,2)</f>
        <v>203839.67</v>
      </c>
      <c r="L140" s="289">
        <f>ROUND(K140+L139,2)</f>
        <v>274629.96</v>
      </c>
    </row>
    <row r="141" spans="1:12" ht="13.5" customHeight="1">
      <c r="A141" s="490" t="s">
        <v>166</v>
      </c>
      <c r="B141" s="491"/>
      <c r="C141" s="286"/>
      <c r="D141" s="286"/>
      <c r="E141" s="286"/>
      <c r="F141" s="286"/>
      <c r="G141" s="287"/>
      <c r="H141" s="288"/>
      <c r="I141" s="290">
        <f>I139/$H$139</f>
        <v>0.1438</v>
      </c>
      <c r="J141" s="290">
        <f>J139/$H$139</f>
        <v>0.2856</v>
      </c>
      <c r="K141" s="290">
        <f>K139/$H$139</f>
        <v>0.3128</v>
      </c>
      <c r="L141" s="291">
        <f>L139/$H$139</f>
        <v>0.2578</v>
      </c>
    </row>
    <row r="142" spans="1:12" ht="12" thickBot="1">
      <c r="A142" s="486" t="s">
        <v>167</v>
      </c>
      <c r="B142" s="487"/>
      <c r="C142" s="292"/>
      <c r="D142" s="292"/>
      <c r="E142" s="292"/>
      <c r="F142" s="292"/>
      <c r="G142" s="293"/>
      <c r="H142" s="294"/>
      <c r="I142" s="295">
        <f>I141</f>
        <v>0.1438</v>
      </c>
      <c r="J142" s="295">
        <f>(J141+I142)</f>
        <v>0.4294</v>
      </c>
      <c r="K142" s="295">
        <f>(K141+J142)</f>
        <v>0.7422</v>
      </c>
      <c r="L142" s="295">
        <f>(L141+K142)</f>
        <v>1</v>
      </c>
    </row>
    <row r="143" spans="1:12" ht="12.75">
      <c r="A143" s="296"/>
      <c r="B143" s="142"/>
      <c r="C143" s="142"/>
      <c r="D143" s="142"/>
      <c r="E143" s="142"/>
      <c r="F143" s="142"/>
      <c r="G143" s="163"/>
      <c r="H143" s="164"/>
      <c r="I143" s="165"/>
      <c r="J143" s="165"/>
      <c r="K143" s="165"/>
      <c r="L143" s="166"/>
    </row>
    <row r="144" spans="1:12" ht="12.75">
      <c r="A144" s="145"/>
      <c r="B144" s="104"/>
      <c r="C144" s="104"/>
      <c r="D144" s="104"/>
      <c r="E144" s="110"/>
      <c r="F144" s="110"/>
      <c r="G144" s="144" t="s">
        <v>168</v>
      </c>
      <c r="H144" s="144"/>
      <c r="I144" s="144"/>
      <c r="J144" s="144"/>
      <c r="K144" s="144"/>
      <c r="L144" s="157"/>
    </row>
    <row r="145" spans="1:12" ht="12.75">
      <c r="A145" s="158"/>
      <c r="B145" s="143"/>
      <c r="C145" s="143"/>
      <c r="D145" s="143"/>
      <c r="E145" s="143"/>
      <c r="F145" s="143"/>
      <c r="G145" s="144" t="s">
        <v>176</v>
      </c>
      <c r="H145" s="144"/>
      <c r="I145" s="144"/>
      <c r="J145" s="144"/>
      <c r="K145" s="144"/>
      <c r="L145" s="157"/>
    </row>
    <row r="146" spans="1:12" ht="12.75">
      <c r="A146" s="158"/>
      <c r="B146" s="143"/>
      <c r="C146" s="143"/>
      <c r="D146" s="143"/>
      <c r="E146" s="143"/>
      <c r="F146" s="143"/>
      <c r="G146" s="144" t="s">
        <v>179</v>
      </c>
      <c r="H146" s="144"/>
      <c r="I146" s="144"/>
      <c r="J146" s="144"/>
      <c r="K146" s="144"/>
      <c r="L146" s="157"/>
    </row>
    <row r="147" spans="1:12" ht="13.5" thickBot="1">
      <c r="A147" s="159"/>
      <c r="B147" s="160"/>
      <c r="C147" s="160"/>
      <c r="D147" s="160"/>
      <c r="E147" s="160"/>
      <c r="F147" s="160"/>
      <c r="G147" s="161" t="s">
        <v>172</v>
      </c>
      <c r="H147" s="161"/>
      <c r="I147" s="161"/>
      <c r="J147" s="161"/>
      <c r="K147" s="161"/>
      <c r="L147" s="162"/>
    </row>
    <row r="152" spans="1:12" ht="12">
      <c r="A152" s="111"/>
      <c r="B152" s="111"/>
      <c r="C152" s="111"/>
      <c r="D152" s="111"/>
      <c r="E152" s="111"/>
      <c r="F152" s="111"/>
      <c r="G152" s="111"/>
      <c r="H152" s="103"/>
      <c r="I152" s="103"/>
      <c r="J152" s="103"/>
      <c r="K152" s="103"/>
      <c r="L152" s="103"/>
    </row>
  </sheetData>
  <sheetProtection/>
  <mergeCells count="269">
    <mergeCell ref="A3:L3"/>
    <mergeCell ref="H6:I6"/>
    <mergeCell ref="G7:I7"/>
    <mergeCell ref="A8:A9"/>
    <mergeCell ref="B8:B9"/>
    <mergeCell ref="C8:C9"/>
    <mergeCell ref="D8:D9"/>
    <mergeCell ref="E8:E9"/>
    <mergeCell ref="F8:F9"/>
    <mergeCell ref="G8:G9"/>
    <mergeCell ref="H8:H9"/>
    <mergeCell ref="I8:L8"/>
    <mergeCell ref="A10:L10"/>
    <mergeCell ref="A11:A12"/>
    <mergeCell ref="B11:B12"/>
    <mergeCell ref="G11:G12"/>
    <mergeCell ref="A13:A14"/>
    <mergeCell ref="B13:B14"/>
    <mergeCell ref="G13:G14"/>
    <mergeCell ref="H13:H14"/>
    <mergeCell ref="A15:A16"/>
    <mergeCell ref="B15:B16"/>
    <mergeCell ref="G15:G16"/>
    <mergeCell ref="H15:H16"/>
    <mergeCell ref="A17:A18"/>
    <mergeCell ref="B17:B18"/>
    <mergeCell ref="G17:G18"/>
    <mergeCell ref="H17:H18"/>
    <mergeCell ref="A19:A20"/>
    <mergeCell ref="B19:B20"/>
    <mergeCell ref="G19:G20"/>
    <mergeCell ref="H19:H20"/>
    <mergeCell ref="A21:A22"/>
    <mergeCell ref="B21:B22"/>
    <mergeCell ref="G21:G22"/>
    <mergeCell ref="H21:H22"/>
    <mergeCell ref="A23:A24"/>
    <mergeCell ref="B23:B24"/>
    <mergeCell ref="G23:G24"/>
    <mergeCell ref="H23:H24"/>
    <mergeCell ref="A25:A26"/>
    <mergeCell ref="B25:B26"/>
    <mergeCell ref="G25:G26"/>
    <mergeCell ref="H25:H26"/>
    <mergeCell ref="A27:A28"/>
    <mergeCell ref="B27:B28"/>
    <mergeCell ref="G27:G28"/>
    <mergeCell ref="H27:H28"/>
    <mergeCell ref="A29:A30"/>
    <mergeCell ref="B29:B30"/>
    <mergeCell ref="G29:G30"/>
    <mergeCell ref="H29:H30"/>
    <mergeCell ref="A31:A32"/>
    <mergeCell ref="B31:B32"/>
    <mergeCell ref="G31:G32"/>
    <mergeCell ref="H31:H32"/>
    <mergeCell ref="A33:A34"/>
    <mergeCell ref="B33:B34"/>
    <mergeCell ref="G33:G34"/>
    <mergeCell ref="H33:H34"/>
    <mergeCell ref="A35:A36"/>
    <mergeCell ref="B35:B36"/>
    <mergeCell ref="G35:G36"/>
    <mergeCell ref="H35:H36"/>
    <mergeCell ref="A37:A38"/>
    <mergeCell ref="B37:B38"/>
    <mergeCell ref="G37:G38"/>
    <mergeCell ref="H37:H38"/>
    <mergeCell ref="A39:A40"/>
    <mergeCell ref="B39:B40"/>
    <mergeCell ref="G39:G40"/>
    <mergeCell ref="H39:H40"/>
    <mergeCell ref="A41:A42"/>
    <mergeCell ref="B41:B42"/>
    <mergeCell ref="G41:G42"/>
    <mergeCell ref="H41:H42"/>
    <mergeCell ref="A43:A44"/>
    <mergeCell ref="B43:B44"/>
    <mergeCell ref="G43:G44"/>
    <mergeCell ref="A45:A46"/>
    <mergeCell ref="B45:B46"/>
    <mergeCell ref="G45:G46"/>
    <mergeCell ref="H45:H46"/>
    <mergeCell ref="A47:A48"/>
    <mergeCell ref="B47:B48"/>
    <mergeCell ref="G47:G48"/>
    <mergeCell ref="H47:H48"/>
    <mergeCell ref="A49:A50"/>
    <mergeCell ref="B49:B50"/>
    <mergeCell ref="G49:G50"/>
    <mergeCell ref="H49:H50"/>
    <mergeCell ref="A51:A52"/>
    <mergeCell ref="B51:B52"/>
    <mergeCell ref="G51:G52"/>
    <mergeCell ref="H51:H52"/>
    <mergeCell ref="A53:A54"/>
    <mergeCell ref="B53:B54"/>
    <mergeCell ref="G53:G54"/>
    <mergeCell ref="H53:H54"/>
    <mergeCell ref="A55:A56"/>
    <mergeCell ref="B55:B56"/>
    <mergeCell ref="G55:G56"/>
    <mergeCell ref="H55:H56"/>
    <mergeCell ref="A57:A58"/>
    <mergeCell ref="B57:B58"/>
    <mergeCell ref="G57:G58"/>
    <mergeCell ref="H57:H58"/>
    <mergeCell ref="A59:A60"/>
    <mergeCell ref="B59:B60"/>
    <mergeCell ref="G59:G60"/>
    <mergeCell ref="H59:H60"/>
    <mergeCell ref="A61:A62"/>
    <mergeCell ref="B61:B62"/>
    <mergeCell ref="G61:G62"/>
    <mergeCell ref="H61:H62"/>
    <mergeCell ref="A63:A64"/>
    <mergeCell ref="B63:B64"/>
    <mergeCell ref="G63:G64"/>
    <mergeCell ref="H63:H64"/>
    <mergeCell ref="A65:A66"/>
    <mergeCell ref="B65:B66"/>
    <mergeCell ref="G65:G66"/>
    <mergeCell ref="H65:H66"/>
    <mergeCell ref="A67:A68"/>
    <mergeCell ref="B67:B68"/>
    <mergeCell ref="G67:G68"/>
    <mergeCell ref="H67:H68"/>
    <mergeCell ref="A69:A70"/>
    <mergeCell ref="B69:B70"/>
    <mergeCell ref="G69:G70"/>
    <mergeCell ref="H69:H70"/>
    <mergeCell ref="A71:A72"/>
    <mergeCell ref="B71:B72"/>
    <mergeCell ref="G71:G72"/>
    <mergeCell ref="H71:H72"/>
    <mergeCell ref="A73:A74"/>
    <mergeCell ref="B73:B74"/>
    <mergeCell ref="G73:G74"/>
    <mergeCell ref="H73:H74"/>
    <mergeCell ref="A75:A76"/>
    <mergeCell ref="B75:B76"/>
    <mergeCell ref="G75:G76"/>
    <mergeCell ref="A77:A78"/>
    <mergeCell ref="B77:B78"/>
    <mergeCell ref="G77:G78"/>
    <mergeCell ref="H77:H78"/>
    <mergeCell ref="A79:A80"/>
    <mergeCell ref="B79:B80"/>
    <mergeCell ref="G79:G80"/>
    <mergeCell ref="H79:H80"/>
    <mergeCell ref="A81:A82"/>
    <mergeCell ref="B81:B82"/>
    <mergeCell ref="G81:G82"/>
    <mergeCell ref="H81:H82"/>
    <mergeCell ref="A83:A84"/>
    <mergeCell ref="B83:B84"/>
    <mergeCell ref="G83:G84"/>
    <mergeCell ref="H83:H84"/>
    <mergeCell ref="A85:A86"/>
    <mergeCell ref="B85:B86"/>
    <mergeCell ref="G85:G86"/>
    <mergeCell ref="H85:H86"/>
    <mergeCell ref="A87:A88"/>
    <mergeCell ref="B87:B88"/>
    <mergeCell ref="G87:G88"/>
    <mergeCell ref="H87:H88"/>
    <mergeCell ref="A89:A90"/>
    <mergeCell ref="B89:B90"/>
    <mergeCell ref="G89:G90"/>
    <mergeCell ref="H89:H90"/>
    <mergeCell ref="A91:A92"/>
    <mergeCell ref="B91:B92"/>
    <mergeCell ref="G91:G92"/>
    <mergeCell ref="H91:H92"/>
    <mergeCell ref="A93:A94"/>
    <mergeCell ref="B93:B94"/>
    <mergeCell ref="G93:G94"/>
    <mergeCell ref="H93:H94"/>
    <mergeCell ref="A95:A96"/>
    <mergeCell ref="B95:B96"/>
    <mergeCell ref="G95:G96"/>
    <mergeCell ref="H95:H96"/>
    <mergeCell ref="A97:A98"/>
    <mergeCell ref="B97:B98"/>
    <mergeCell ref="G97:G98"/>
    <mergeCell ref="H97:H98"/>
    <mergeCell ref="A99:A100"/>
    <mergeCell ref="B99:B100"/>
    <mergeCell ref="G99:G100"/>
    <mergeCell ref="H99:H100"/>
    <mergeCell ref="A101:A102"/>
    <mergeCell ref="B101:B102"/>
    <mergeCell ref="G101:G102"/>
    <mergeCell ref="H101:H102"/>
    <mergeCell ref="A103:A104"/>
    <mergeCell ref="B103:B104"/>
    <mergeCell ref="G103:G104"/>
    <mergeCell ref="H103:H104"/>
    <mergeCell ref="A105:A106"/>
    <mergeCell ref="B105:B106"/>
    <mergeCell ref="G105:G106"/>
    <mergeCell ref="H105:H106"/>
    <mergeCell ref="A107:A108"/>
    <mergeCell ref="B107:B108"/>
    <mergeCell ref="G107:G108"/>
    <mergeCell ref="A109:A110"/>
    <mergeCell ref="B109:B110"/>
    <mergeCell ref="G109:G110"/>
    <mergeCell ref="H109:H110"/>
    <mergeCell ref="A111:A112"/>
    <mergeCell ref="B111:B112"/>
    <mergeCell ref="G111:G112"/>
    <mergeCell ref="H111:H112"/>
    <mergeCell ref="A113:A114"/>
    <mergeCell ref="B113:B114"/>
    <mergeCell ref="G113:G114"/>
    <mergeCell ref="H113:H114"/>
    <mergeCell ref="A115:A116"/>
    <mergeCell ref="B115:B116"/>
    <mergeCell ref="G115:G116"/>
    <mergeCell ref="H115:H116"/>
    <mergeCell ref="A117:A118"/>
    <mergeCell ref="B117:B118"/>
    <mergeCell ref="G117:G118"/>
    <mergeCell ref="H117:H118"/>
    <mergeCell ref="A119:A120"/>
    <mergeCell ref="B119:B120"/>
    <mergeCell ref="G119:G120"/>
    <mergeCell ref="H119:H120"/>
    <mergeCell ref="A121:A122"/>
    <mergeCell ref="B121:B122"/>
    <mergeCell ref="G121:G122"/>
    <mergeCell ref="H121:H122"/>
    <mergeCell ref="A123:A124"/>
    <mergeCell ref="B123:B124"/>
    <mergeCell ref="G123:G124"/>
    <mergeCell ref="H123:H124"/>
    <mergeCell ref="A125:A126"/>
    <mergeCell ref="B125:B126"/>
    <mergeCell ref="G125:G126"/>
    <mergeCell ref="H125:H126"/>
    <mergeCell ref="A127:A128"/>
    <mergeCell ref="B127:B128"/>
    <mergeCell ref="G127:G128"/>
    <mergeCell ref="H127:H128"/>
    <mergeCell ref="A129:A130"/>
    <mergeCell ref="B129:B130"/>
    <mergeCell ref="G129:G130"/>
    <mergeCell ref="H129:H130"/>
    <mergeCell ref="A131:A132"/>
    <mergeCell ref="B131:B132"/>
    <mergeCell ref="G131:G132"/>
    <mergeCell ref="H131:H132"/>
    <mergeCell ref="A133:A134"/>
    <mergeCell ref="B133:B134"/>
    <mergeCell ref="G133:G134"/>
    <mergeCell ref="H133:H134"/>
    <mergeCell ref="A135:A136"/>
    <mergeCell ref="B135:B136"/>
    <mergeCell ref="G135:G136"/>
    <mergeCell ref="H135:H136"/>
    <mergeCell ref="A137:A138"/>
    <mergeCell ref="B137:B138"/>
    <mergeCell ref="G137:G138"/>
    <mergeCell ref="H137:H138"/>
    <mergeCell ref="A142:B142"/>
    <mergeCell ref="A139:B139"/>
    <mergeCell ref="A140:B140"/>
    <mergeCell ref="A141:B141"/>
  </mergeCells>
  <printOptions horizontalCentered="1"/>
  <pageMargins left="0.1968503937007874" right="0.1968503937007874" top="0.7874015748031497" bottom="0.1968503937007874" header="0.31496062992125984" footer="0.31496062992125984"/>
  <pageSetup fitToHeight="1" fitToWidth="1" horizontalDpi="600" verticalDpi="600" orientation="landscape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J26"/>
  <sheetViews>
    <sheetView zoomScalePageLayoutView="0" workbookViewId="0" topLeftCell="A1">
      <selection activeCell="D38" sqref="D38"/>
    </sheetView>
  </sheetViews>
  <sheetFormatPr defaultColWidth="9.140625" defaultRowHeight="15"/>
  <cols>
    <col min="2" max="2" width="13.8515625" style="0" bestFit="1" customWidth="1"/>
    <col min="4" max="4" width="55.00390625" style="0" bestFit="1" customWidth="1"/>
    <col min="5" max="5" width="15.421875" style="0" bestFit="1" customWidth="1"/>
    <col min="6" max="7" width="13.8515625" style="0" bestFit="1" customWidth="1"/>
  </cols>
  <sheetData>
    <row r="6" spans="1:7" ht="15">
      <c r="A6" s="523" t="s">
        <v>226</v>
      </c>
      <c r="B6" s="524"/>
      <c r="C6" s="524"/>
      <c r="D6" s="524"/>
      <c r="E6" s="524"/>
      <c r="F6" s="524"/>
      <c r="G6" s="525"/>
    </row>
    <row r="7" spans="1:7" ht="15">
      <c r="A7" s="337"/>
      <c r="B7" s="338"/>
      <c r="C7" s="339"/>
      <c r="D7" s="340"/>
      <c r="E7" s="341"/>
      <c r="F7" s="342"/>
      <c r="G7" s="343"/>
    </row>
    <row r="8" spans="1:7" ht="15">
      <c r="A8" s="526" t="str">
        <f>'Declaração GPI'!A5:G5</f>
        <v>CLIENTE: INSTITUTO FEDERAL DE EDUCAÇAO, CIENCIAS E TECNOLOGIA DE GOIAS - URUAÇU</v>
      </c>
      <c r="B8" s="527"/>
      <c r="C8" s="527"/>
      <c r="D8" s="527"/>
      <c r="E8" s="344"/>
      <c r="F8" s="344"/>
      <c r="G8" s="345"/>
    </row>
    <row r="9" spans="1:7" ht="15">
      <c r="A9" s="528" t="str">
        <f>'Declaração GPI'!A4:G4</f>
        <v>EMPREENDIMENTO: FECHAMENTO DO TERRENO - ALAMBRADO COM POSTES DE CONCRETO</v>
      </c>
      <c r="B9" s="529"/>
      <c r="C9" s="529"/>
      <c r="D9" s="529"/>
      <c r="E9" s="346"/>
      <c r="F9" s="346"/>
      <c r="G9" s="347"/>
    </row>
    <row r="10" spans="1:7" ht="38.25">
      <c r="A10" s="530" t="s">
        <v>227</v>
      </c>
      <c r="B10" s="531"/>
      <c r="C10" s="532"/>
      <c r="D10" s="389" t="s">
        <v>245</v>
      </c>
      <c r="E10" s="348" t="s">
        <v>228</v>
      </c>
      <c r="F10" s="387">
        <f>Cronograma!H6</f>
        <v>2192.69</v>
      </c>
      <c r="G10" s="388" t="s">
        <v>4</v>
      </c>
    </row>
    <row r="11" spans="1:7" ht="15">
      <c r="A11" s="349"/>
      <c r="B11" s="533"/>
      <c r="C11" s="533"/>
      <c r="D11" s="350"/>
      <c r="E11" s="351"/>
      <c r="F11" s="352"/>
      <c r="G11" s="353"/>
    </row>
    <row r="12" spans="1:7" ht="15.75" thickBot="1">
      <c r="A12" s="354" t="s">
        <v>0</v>
      </c>
      <c r="B12" s="355" t="s">
        <v>229</v>
      </c>
      <c r="C12" s="356" t="s">
        <v>230</v>
      </c>
      <c r="D12" s="357" t="s">
        <v>231</v>
      </c>
      <c r="E12" s="358" t="s">
        <v>232</v>
      </c>
      <c r="F12" s="359" t="s">
        <v>233</v>
      </c>
      <c r="G12" s="360" t="s">
        <v>234</v>
      </c>
    </row>
    <row r="13" spans="1:7" ht="15.75" thickBot="1">
      <c r="A13" s="369" t="s">
        <v>238</v>
      </c>
      <c r="B13" s="370"/>
      <c r="C13" s="371" t="s">
        <v>11</v>
      </c>
      <c r="D13" s="372" t="s">
        <v>198</v>
      </c>
      <c r="E13" s="371">
        <v>1</v>
      </c>
      <c r="F13" s="373">
        <f>SUM(G14:G21)</f>
        <v>60.21</v>
      </c>
      <c r="G13" s="374">
        <f aca="true" t="shared" si="0" ref="G13:G21">ROUND(F13*E13,2)</f>
        <v>60.21</v>
      </c>
    </row>
    <row r="14" spans="1:7" ht="24">
      <c r="A14" s="379" t="s">
        <v>3</v>
      </c>
      <c r="B14" s="363">
        <v>4114</v>
      </c>
      <c r="C14" s="366" t="s">
        <v>43</v>
      </c>
      <c r="D14" s="367" t="s">
        <v>193</v>
      </c>
      <c r="E14" s="368">
        <v>0.37</v>
      </c>
      <c r="F14" s="375">
        <v>38.25</v>
      </c>
      <c r="G14" s="361">
        <f t="shared" si="0"/>
        <v>14.15</v>
      </c>
    </row>
    <row r="15" spans="1:7" ht="24">
      <c r="A15" s="380" t="s">
        <v>5</v>
      </c>
      <c r="B15" s="363">
        <v>10928</v>
      </c>
      <c r="C15" s="362" t="s">
        <v>4</v>
      </c>
      <c r="D15" s="364" t="s">
        <v>45</v>
      </c>
      <c r="E15" s="365">
        <v>2</v>
      </c>
      <c r="F15" s="375">
        <v>10.06</v>
      </c>
      <c r="G15" s="361">
        <f t="shared" si="0"/>
        <v>20.12</v>
      </c>
    </row>
    <row r="16" spans="1:7" ht="15">
      <c r="A16" s="380" t="s">
        <v>18</v>
      </c>
      <c r="B16" s="363">
        <v>34346</v>
      </c>
      <c r="C16" s="362" t="s">
        <v>11</v>
      </c>
      <c r="D16" s="364" t="s">
        <v>46</v>
      </c>
      <c r="E16" s="365">
        <v>3</v>
      </c>
      <c r="F16" s="375">
        <v>0.65</v>
      </c>
      <c r="G16" s="361">
        <f t="shared" si="0"/>
        <v>1.95</v>
      </c>
    </row>
    <row r="17" spans="1:7" ht="15">
      <c r="A17" s="380" t="s">
        <v>19</v>
      </c>
      <c r="B17" s="363">
        <v>342</v>
      </c>
      <c r="C17" s="362" t="s">
        <v>26</v>
      </c>
      <c r="D17" s="364" t="s">
        <v>47</v>
      </c>
      <c r="E17" s="365">
        <v>0.1</v>
      </c>
      <c r="F17" s="375">
        <v>9.67</v>
      </c>
      <c r="G17" s="361">
        <f t="shared" si="0"/>
        <v>0.97</v>
      </c>
    </row>
    <row r="18" spans="1:7" ht="15">
      <c r="A18" s="380" t="s">
        <v>74</v>
      </c>
      <c r="B18" s="362">
        <v>333</v>
      </c>
      <c r="C18" s="362" t="s">
        <v>26</v>
      </c>
      <c r="D18" s="364" t="s">
        <v>48</v>
      </c>
      <c r="E18" s="365">
        <v>0.01</v>
      </c>
      <c r="F18" s="375">
        <v>9.9</v>
      </c>
      <c r="G18" s="361">
        <f t="shared" si="0"/>
        <v>0.1</v>
      </c>
    </row>
    <row r="19" spans="1:7" ht="15">
      <c r="A19" s="380" t="s">
        <v>77</v>
      </c>
      <c r="B19" s="362">
        <v>88309</v>
      </c>
      <c r="C19" s="362" t="s">
        <v>10</v>
      </c>
      <c r="D19" s="364" t="s">
        <v>199</v>
      </c>
      <c r="E19" s="365">
        <v>0.8</v>
      </c>
      <c r="F19" s="375">
        <v>13.64</v>
      </c>
      <c r="G19" s="361">
        <f t="shared" si="0"/>
        <v>10.91</v>
      </c>
    </row>
    <row r="20" spans="1:7" ht="24">
      <c r="A20" s="380" t="s">
        <v>236</v>
      </c>
      <c r="B20" s="362" t="s">
        <v>235</v>
      </c>
      <c r="C20" s="362" t="s">
        <v>4</v>
      </c>
      <c r="D20" s="364" t="s">
        <v>219</v>
      </c>
      <c r="E20" s="365">
        <v>0.36</v>
      </c>
      <c r="F20" s="375">
        <v>5.15</v>
      </c>
      <c r="G20" s="361">
        <f t="shared" si="0"/>
        <v>1.85</v>
      </c>
    </row>
    <row r="21" spans="1:7" ht="15.75" thickBot="1">
      <c r="A21" s="381" t="s">
        <v>237</v>
      </c>
      <c r="B21" s="382">
        <v>88316</v>
      </c>
      <c r="C21" s="382" t="s">
        <v>10</v>
      </c>
      <c r="D21" s="383" t="s">
        <v>200</v>
      </c>
      <c r="E21" s="384">
        <v>1</v>
      </c>
      <c r="F21" s="385">
        <v>10.16</v>
      </c>
      <c r="G21" s="386">
        <f t="shared" si="0"/>
        <v>10.16</v>
      </c>
    </row>
    <row r="24" spans="1:10" ht="15">
      <c r="A24" s="158"/>
      <c r="B24" s="143"/>
      <c r="C24" s="143"/>
      <c r="D24" s="391" t="s">
        <v>176</v>
      </c>
      <c r="E24" s="144"/>
      <c r="F24" s="144"/>
      <c r="G24" s="144"/>
      <c r="H24" s="144"/>
      <c r="I24" s="144"/>
      <c r="J24" s="144"/>
    </row>
    <row r="25" spans="1:10" ht="15">
      <c r="A25" s="158"/>
      <c r="B25" s="143"/>
      <c r="C25" s="143"/>
      <c r="D25" s="144" t="s">
        <v>179</v>
      </c>
      <c r="E25" s="144"/>
      <c r="F25" s="144"/>
      <c r="G25" s="144"/>
      <c r="H25" s="144"/>
      <c r="I25" s="144"/>
      <c r="J25" s="144"/>
    </row>
    <row r="26" spans="1:10" ht="15">
      <c r="A26" s="143"/>
      <c r="B26" s="143"/>
      <c r="C26" s="143"/>
      <c r="D26" s="144" t="s">
        <v>172</v>
      </c>
      <c r="E26" s="144"/>
      <c r="F26" s="144"/>
      <c r="G26" s="144"/>
      <c r="H26" s="390"/>
      <c r="I26" s="144"/>
      <c r="J26" s="144"/>
    </row>
  </sheetData>
  <sheetProtection/>
  <mergeCells count="5">
    <mergeCell ref="A6:G6"/>
    <mergeCell ref="A8:D8"/>
    <mergeCell ref="A9:D9"/>
    <mergeCell ref="A10:C10"/>
    <mergeCell ref="B11:C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Jabourware Computadores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Jabourware</dc:creator>
  <cp:keywords/>
  <dc:description/>
  <cp:lastModifiedBy>Augusto Martins Ferreira</cp:lastModifiedBy>
  <cp:lastPrinted>2015-11-11T13:50:34Z</cp:lastPrinted>
  <dcterms:created xsi:type="dcterms:W3CDTF">2010-05-15T13:31:21Z</dcterms:created>
  <dcterms:modified xsi:type="dcterms:W3CDTF">2015-11-13T12:00:25Z</dcterms:modified>
  <cp:category/>
  <cp:version/>
  <cp:contentType/>
  <cp:contentStatus/>
</cp:coreProperties>
</file>